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90" windowWidth="27795" windowHeight="9015"/>
  </bookViews>
  <sheets>
    <sheet name="Свод по курсам" sheetId="5" r:id="rId1"/>
    <sheet name="Пров. тетр д.о." sheetId="12" r:id="rId2"/>
    <sheet name="ТОиРГЭО" sheetId="3" r:id="rId3"/>
    <sheet name="УиА" sheetId="6" r:id="rId4"/>
    <sheet name="ТЗОиРЭиЭО" sheetId="7" r:id="rId5"/>
    <sheet name="ТМ" sheetId="9" r:id="rId6"/>
    <sheet name="ЭРиТОПСЖД" sheetId="10" r:id="rId7"/>
    <sheet name="ОП" sheetId="11" r:id="rId8"/>
    <sheet name="АиУ" sheetId="2" r:id="rId9"/>
  </sheets>
  <externalReferences>
    <externalReference r:id="rId10"/>
    <externalReference r:id="rId11"/>
  </externalReferences>
  <definedNames>
    <definedName name="_xlnm.Print_Area" localSheetId="2">ТОиРГЭО!$A$1:$EY$288</definedName>
  </definedNames>
  <calcPr calcId="125725" fullPrecision="0"/>
</workbook>
</file>

<file path=xl/calcChain.xml><?xml version="1.0" encoding="utf-8"?>
<calcChain xmlns="http://schemas.openxmlformats.org/spreadsheetml/2006/main">
  <c r="O26" i="5"/>
  <c r="P26" s="1"/>
  <c r="Q35"/>
  <c r="P18"/>
  <c r="V25" i="12" l="1"/>
  <c r="U14"/>
  <c r="U15"/>
  <c r="U19"/>
  <c r="U20"/>
  <c r="U21"/>
  <c r="Q68" i="6" l="1"/>
  <c r="S36" i="3" l="1"/>
  <c r="T36"/>
  <c r="S83"/>
  <c r="T83"/>
  <c r="S123"/>
  <c r="T123"/>
  <c r="S161"/>
  <c r="T161"/>
  <c r="S196"/>
  <c r="T196"/>
  <c r="S224"/>
  <c r="T224"/>
  <c r="S257"/>
  <c r="T257"/>
  <c r="T22" i="12"/>
  <c r="U22" s="1"/>
  <c r="T10"/>
  <c r="T11"/>
  <c r="S23"/>
  <c r="U23" s="1"/>
  <c r="U24"/>
  <c r="R25"/>
  <c r="Q25"/>
  <c r="N10"/>
  <c r="N12"/>
  <c r="N11"/>
  <c r="L12"/>
  <c r="L18"/>
  <c r="L17"/>
  <c r="L16"/>
  <c r="L13"/>
  <c r="U13" s="1"/>
  <c r="L9"/>
  <c r="E10"/>
  <c r="E11"/>
  <c r="E12"/>
  <c r="D18"/>
  <c r="U18" s="1"/>
  <c r="D17"/>
  <c r="U17" s="1"/>
  <c r="D16"/>
  <c r="U16" s="1"/>
  <c r="D10"/>
  <c r="D12"/>
  <c r="D11"/>
  <c r="U11" s="1"/>
  <c r="D9"/>
  <c r="P25"/>
  <c r="O25"/>
  <c r="M25"/>
  <c r="K25"/>
  <c r="J25"/>
  <c r="I25"/>
  <c r="H25"/>
  <c r="G25"/>
  <c r="F25"/>
  <c r="S25" l="1"/>
  <c r="U12"/>
  <c r="U9"/>
  <c r="U10"/>
  <c r="D25"/>
  <c r="T25"/>
  <c r="N25"/>
  <c r="E25"/>
  <c r="L25"/>
  <c r="U25" l="1"/>
  <c r="V249" i="2" l="1"/>
  <c r="V250"/>
  <c r="U249"/>
  <c r="U250"/>
  <c r="N187"/>
  <c r="O187"/>
  <c r="P187"/>
  <c r="R187"/>
  <c r="S187"/>
  <c r="T187"/>
  <c r="U185"/>
  <c r="V185" s="1"/>
  <c r="U186"/>
  <c r="V186"/>
  <c r="M118" i="6"/>
  <c r="N118"/>
  <c r="P118"/>
  <c r="Q118"/>
  <c r="R118"/>
  <c r="S118"/>
  <c r="T118"/>
  <c r="U118"/>
  <c r="V118"/>
  <c r="V114"/>
  <c r="N41"/>
  <c r="P41"/>
  <c r="R41"/>
  <c r="S41"/>
  <c r="T41"/>
  <c r="V37"/>
  <c r="N82" i="7"/>
  <c r="P82"/>
  <c r="Q82"/>
  <c r="R82"/>
  <c r="S82"/>
  <c r="T82"/>
  <c r="V79"/>
  <c r="V80"/>
  <c r="V81"/>
  <c r="V40" i="2"/>
  <c r="V42"/>
  <c r="V43"/>
  <c r="V44"/>
  <c r="N45"/>
  <c r="P45"/>
  <c r="R45"/>
  <c r="S45"/>
  <c r="T45"/>
  <c r="V255" i="3"/>
  <c r="N257"/>
  <c r="P257"/>
  <c r="R257"/>
  <c r="U218" i="2"/>
  <c r="U219"/>
  <c r="V219" s="1"/>
  <c r="V218"/>
  <c r="N220"/>
  <c r="O220"/>
  <c r="P220"/>
  <c r="R220"/>
  <c r="S220"/>
  <c r="T220"/>
  <c r="V278" i="7"/>
  <c r="V279"/>
  <c r="V280"/>
  <c r="V281"/>
  <c r="V282"/>
  <c r="V283"/>
  <c r="V284"/>
  <c r="V285"/>
  <c r="U278"/>
  <c r="U279"/>
  <c r="U280"/>
  <c r="U281"/>
  <c r="U282"/>
  <c r="U283"/>
  <c r="U284"/>
  <c r="U285"/>
  <c r="M286"/>
  <c r="N286"/>
  <c r="O286"/>
  <c r="P286"/>
  <c r="Q286"/>
  <c r="R286"/>
  <c r="S286"/>
  <c r="T286"/>
  <c r="U286"/>
  <c r="U69" i="9"/>
  <c r="V69" s="1"/>
  <c r="V63"/>
  <c r="V64"/>
  <c r="V65"/>
  <c r="V66"/>
  <c r="V67"/>
  <c r="V68"/>
  <c r="V70"/>
  <c r="M71"/>
  <c r="N71"/>
  <c r="O71"/>
  <c r="P71"/>
  <c r="Q71"/>
  <c r="R71"/>
  <c r="S71"/>
  <c r="T71"/>
  <c r="U71"/>
  <c r="U222" i="3"/>
  <c r="V222" s="1"/>
  <c r="U122" i="7"/>
  <c r="V122" s="1"/>
  <c r="U37"/>
  <c r="V37" s="1"/>
  <c r="V71" i="9" l="1"/>
  <c r="M47" i="5" l="1"/>
  <c r="L46"/>
  <c r="H46"/>
  <c r="F46"/>
  <c r="E46"/>
  <c r="D46"/>
  <c r="C46"/>
  <c r="V243" i="2"/>
  <c r="M251"/>
  <c r="K46" i="5" s="1"/>
  <c r="N251" i="2"/>
  <c r="O251"/>
  <c r="P251"/>
  <c r="R251"/>
  <c r="S251"/>
  <c r="T251"/>
  <c r="K250"/>
  <c r="K247"/>
  <c r="K246"/>
  <c r="Q250"/>
  <c r="L250"/>
  <c r="J250"/>
  <c r="Q248"/>
  <c r="J248"/>
  <c r="L248" s="1"/>
  <c r="U248" s="1"/>
  <c r="Q247"/>
  <c r="Q251" s="1"/>
  <c r="J46" i="5" s="1"/>
  <c r="J247" i="2"/>
  <c r="L247" s="1"/>
  <c r="U247" s="1"/>
  <c r="Q246"/>
  <c r="J246"/>
  <c r="L246" s="1"/>
  <c r="U246" s="1"/>
  <c r="V246" s="1"/>
  <c r="Q245"/>
  <c r="J245"/>
  <c r="L245" s="1"/>
  <c r="U245" s="1"/>
  <c r="V245" s="1"/>
  <c r="Q244"/>
  <c r="J244"/>
  <c r="L244" s="1"/>
  <c r="Q243"/>
  <c r="J243"/>
  <c r="L243" s="1"/>
  <c r="U236"/>
  <c r="U235"/>
  <c r="L45" i="5"/>
  <c r="F45"/>
  <c r="E45"/>
  <c r="D45"/>
  <c r="C45"/>
  <c r="M220" i="2"/>
  <c r="K45" i="5" s="1"/>
  <c r="K219" i="2"/>
  <c r="Q217"/>
  <c r="J217"/>
  <c r="L217" s="1"/>
  <c r="U217" s="1"/>
  <c r="Q219"/>
  <c r="J219"/>
  <c r="Q216"/>
  <c r="J216"/>
  <c r="L216" s="1"/>
  <c r="U216" s="1"/>
  <c r="V216" s="1"/>
  <c r="Q215"/>
  <c r="J215"/>
  <c r="L215" s="1"/>
  <c r="U215" s="1"/>
  <c r="V215" s="1"/>
  <c r="Q214"/>
  <c r="Q220" s="1"/>
  <c r="J214"/>
  <c r="L214" s="1"/>
  <c r="U214" s="1"/>
  <c r="V214" s="1"/>
  <c r="Q213"/>
  <c r="J213"/>
  <c r="L213" s="1"/>
  <c r="U213" s="1"/>
  <c r="V213" s="1"/>
  <c r="Q212"/>
  <c r="J212"/>
  <c r="L212" s="1"/>
  <c r="U212" s="1"/>
  <c r="V212" s="1"/>
  <c r="Q211"/>
  <c r="J211"/>
  <c r="L211" s="1"/>
  <c r="U211" s="1"/>
  <c r="Q210"/>
  <c r="J210"/>
  <c r="L210" s="1"/>
  <c r="U203"/>
  <c r="U202"/>
  <c r="F44" i="5"/>
  <c r="E44"/>
  <c r="D44"/>
  <c r="C44"/>
  <c r="M187" i="2"/>
  <c r="K44" i="5" s="1"/>
  <c r="L44"/>
  <c r="K186" i="2"/>
  <c r="Q184"/>
  <c r="J184"/>
  <c r="L184" s="1"/>
  <c r="U184" s="1"/>
  <c r="V184" s="1"/>
  <c r="Q186"/>
  <c r="J186"/>
  <c r="Q183"/>
  <c r="J183"/>
  <c r="L183" s="1"/>
  <c r="U183" s="1"/>
  <c r="Q182"/>
  <c r="Q187" s="1"/>
  <c r="J182"/>
  <c r="L182" s="1"/>
  <c r="U182" s="1"/>
  <c r="Q181"/>
  <c r="J181"/>
  <c r="L181" s="1"/>
  <c r="U181" s="1"/>
  <c r="Q180"/>
  <c r="K187"/>
  <c r="T172" s="1"/>
  <c r="J180"/>
  <c r="L180" s="1"/>
  <c r="U180" s="1"/>
  <c r="Q179"/>
  <c r="J179"/>
  <c r="L179" s="1"/>
  <c r="Q178"/>
  <c r="J178"/>
  <c r="L178" s="1"/>
  <c r="U171"/>
  <c r="U170"/>
  <c r="F43" i="5"/>
  <c r="E43"/>
  <c r="D43"/>
  <c r="C43"/>
  <c r="M156" i="2"/>
  <c r="K43" i="5" s="1"/>
  <c r="N156" i="2"/>
  <c r="L43" i="5" s="1"/>
  <c r="O156" i="2"/>
  <c r="P156"/>
  <c r="R156"/>
  <c r="S156"/>
  <c r="T156"/>
  <c r="K155"/>
  <c r="K151"/>
  <c r="Q155"/>
  <c r="J155"/>
  <c r="Q154"/>
  <c r="J154"/>
  <c r="L154" s="1"/>
  <c r="U154" s="1"/>
  <c r="Q153"/>
  <c r="J153"/>
  <c r="L153" s="1"/>
  <c r="U153" s="1"/>
  <c r="Q152"/>
  <c r="J152"/>
  <c r="L152" s="1"/>
  <c r="U152" s="1"/>
  <c r="Q151"/>
  <c r="J151"/>
  <c r="Q150"/>
  <c r="J150"/>
  <c r="L150" s="1"/>
  <c r="U150" s="1"/>
  <c r="Q149"/>
  <c r="J149"/>
  <c r="L149" s="1"/>
  <c r="U149" s="1"/>
  <c r="V149" s="1"/>
  <c r="Q148"/>
  <c r="J148"/>
  <c r="L148" s="1"/>
  <c r="U141"/>
  <c r="U140"/>
  <c r="L42" i="5"/>
  <c r="F42"/>
  <c r="E42"/>
  <c r="D42"/>
  <c r="C42"/>
  <c r="M126" i="2"/>
  <c r="K42" i="5" s="1"/>
  <c r="N126" i="2"/>
  <c r="O126"/>
  <c r="P126"/>
  <c r="R126"/>
  <c r="S126"/>
  <c r="T126"/>
  <c r="J123"/>
  <c r="L123" s="1"/>
  <c r="U123" s="1"/>
  <c r="Q123"/>
  <c r="Q124"/>
  <c r="J124"/>
  <c r="L124" s="1"/>
  <c r="U124" s="1"/>
  <c r="K117"/>
  <c r="K118"/>
  <c r="K116"/>
  <c r="Q125"/>
  <c r="K125"/>
  <c r="J125"/>
  <c r="L125" s="1"/>
  <c r="U125" s="1"/>
  <c r="Q122"/>
  <c r="J122"/>
  <c r="L122" s="1"/>
  <c r="U122" s="1"/>
  <c r="Q121"/>
  <c r="J121"/>
  <c r="L121" s="1"/>
  <c r="U121" s="1"/>
  <c r="Q120"/>
  <c r="J120"/>
  <c r="L120" s="1"/>
  <c r="U120" s="1"/>
  <c r="Q119"/>
  <c r="J119"/>
  <c r="L119" s="1"/>
  <c r="U119" s="1"/>
  <c r="Q118"/>
  <c r="J118"/>
  <c r="Q117"/>
  <c r="J117"/>
  <c r="L117" s="1"/>
  <c r="U117" s="1"/>
  <c r="Q116"/>
  <c r="J116"/>
  <c r="Q115"/>
  <c r="J115"/>
  <c r="L115" s="1"/>
  <c r="U115" s="1"/>
  <c r="Q114"/>
  <c r="J114"/>
  <c r="L114" s="1"/>
  <c r="U114" s="1"/>
  <c r="Q113"/>
  <c r="J113"/>
  <c r="L113" s="1"/>
  <c r="U113" s="1"/>
  <c r="Q112"/>
  <c r="J112"/>
  <c r="L112" s="1"/>
  <c r="U112" s="1"/>
  <c r="Q111"/>
  <c r="J111"/>
  <c r="L111" s="1"/>
  <c r="U111" s="1"/>
  <c r="V111" s="1"/>
  <c r="Q110"/>
  <c r="J110"/>
  <c r="L110" s="1"/>
  <c r="U110" s="1"/>
  <c r="Q109"/>
  <c r="J109"/>
  <c r="L109" s="1"/>
  <c r="U109" s="1"/>
  <c r="Q108"/>
  <c r="J108"/>
  <c r="L108" s="1"/>
  <c r="U108" s="1"/>
  <c r="Q107"/>
  <c r="J107"/>
  <c r="L107" s="1"/>
  <c r="U100"/>
  <c r="U99"/>
  <c r="F41" i="5"/>
  <c r="E41"/>
  <c r="D41"/>
  <c r="C41"/>
  <c r="M85" i="2"/>
  <c r="K41" i="5" s="1"/>
  <c r="N85" i="2"/>
  <c r="L41" i="5" s="1"/>
  <c r="O85" i="2"/>
  <c r="P85"/>
  <c r="R85"/>
  <c r="S85"/>
  <c r="T85"/>
  <c r="K84"/>
  <c r="K79"/>
  <c r="K77"/>
  <c r="K78"/>
  <c r="Q73"/>
  <c r="Q74"/>
  <c r="Q75"/>
  <c r="Q76"/>
  <c r="Q77"/>
  <c r="Q78"/>
  <c r="Q79"/>
  <c r="J73"/>
  <c r="L73" s="1"/>
  <c r="U73" s="1"/>
  <c r="J74"/>
  <c r="L74" s="1"/>
  <c r="U74" s="1"/>
  <c r="Q71"/>
  <c r="Q84"/>
  <c r="J84"/>
  <c r="Q83"/>
  <c r="J83"/>
  <c r="L83" s="1"/>
  <c r="U83" s="1"/>
  <c r="Q82"/>
  <c r="J82"/>
  <c r="L82" s="1"/>
  <c r="U82" s="1"/>
  <c r="Q81"/>
  <c r="J81"/>
  <c r="Q80"/>
  <c r="J80"/>
  <c r="L80" s="1"/>
  <c r="U80" s="1"/>
  <c r="J79"/>
  <c r="J78"/>
  <c r="J77"/>
  <c r="L77" s="1"/>
  <c r="U77" s="1"/>
  <c r="J76"/>
  <c r="J75"/>
  <c r="L75" s="1"/>
  <c r="U75" s="1"/>
  <c r="Q72"/>
  <c r="J72"/>
  <c r="L72" s="1"/>
  <c r="U72" s="1"/>
  <c r="J71"/>
  <c r="L71" s="1"/>
  <c r="U71" s="1"/>
  <c r="Q70"/>
  <c r="J70"/>
  <c r="L70" s="1"/>
  <c r="U70" s="1"/>
  <c r="V70" s="1"/>
  <c r="Q69"/>
  <c r="J69"/>
  <c r="L69" s="1"/>
  <c r="U69" s="1"/>
  <c r="Q68"/>
  <c r="J68"/>
  <c r="L68" s="1"/>
  <c r="U61"/>
  <c r="U60"/>
  <c r="F40" i="5"/>
  <c r="E40"/>
  <c r="D40"/>
  <c r="C40"/>
  <c r="B7"/>
  <c r="N37"/>
  <c r="J37"/>
  <c r="I37"/>
  <c r="H37"/>
  <c r="F37"/>
  <c r="E37"/>
  <c r="D37"/>
  <c r="C37"/>
  <c r="K55" i="11"/>
  <c r="K52"/>
  <c r="T56"/>
  <c r="S56"/>
  <c r="R56"/>
  <c r="P56"/>
  <c r="O56"/>
  <c r="N56"/>
  <c r="L37" i="5" s="1"/>
  <c r="M56" i="11"/>
  <c r="K37" i="5" s="1"/>
  <c r="Q55" i="11"/>
  <c r="L55"/>
  <c r="U55" s="1"/>
  <c r="K56"/>
  <c r="T45" s="1"/>
  <c r="J55"/>
  <c r="Q54"/>
  <c r="J54"/>
  <c r="L54" s="1"/>
  <c r="U54" s="1"/>
  <c r="Q53"/>
  <c r="J53"/>
  <c r="L53" s="1"/>
  <c r="U53" s="1"/>
  <c r="Q52"/>
  <c r="J52"/>
  <c r="L52" s="1"/>
  <c r="U52" s="1"/>
  <c r="V52" s="1"/>
  <c r="Q51"/>
  <c r="J51"/>
  <c r="L51" s="1"/>
  <c r="Q50"/>
  <c r="Q56" s="1"/>
  <c r="J50"/>
  <c r="L50" s="1"/>
  <c r="U50" s="1"/>
  <c r="U44"/>
  <c r="U43"/>
  <c r="F36" i="5"/>
  <c r="E36"/>
  <c r="D36"/>
  <c r="C36"/>
  <c r="M28" i="11"/>
  <c r="K36" i="5" s="1"/>
  <c r="N28" i="11"/>
  <c r="L36" i="5" s="1"/>
  <c r="O28" i="11"/>
  <c r="P28"/>
  <c r="R28"/>
  <c r="S28"/>
  <c r="T28"/>
  <c r="K27"/>
  <c r="K23"/>
  <c r="K28" s="1"/>
  <c r="M36" i="3"/>
  <c r="N36"/>
  <c r="P36"/>
  <c r="R36"/>
  <c r="Q27" i="11"/>
  <c r="J27"/>
  <c r="L27" s="1"/>
  <c r="U27" s="1"/>
  <c r="Q26"/>
  <c r="J26"/>
  <c r="Q25"/>
  <c r="J25"/>
  <c r="L25" s="1"/>
  <c r="U25" s="1"/>
  <c r="Q24"/>
  <c r="J24"/>
  <c r="L24" s="1"/>
  <c r="U24" s="1"/>
  <c r="Q23"/>
  <c r="J23"/>
  <c r="Q22"/>
  <c r="J22"/>
  <c r="L22" s="1"/>
  <c r="U22" s="1"/>
  <c r="V22" s="1"/>
  <c r="Q21"/>
  <c r="J21"/>
  <c r="L21" s="1"/>
  <c r="U21" s="1"/>
  <c r="Q20"/>
  <c r="J20"/>
  <c r="L20" s="1"/>
  <c r="U14"/>
  <c r="U13"/>
  <c r="L34" i="5"/>
  <c r="H34"/>
  <c r="F34"/>
  <c r="E34"/>
  <c r="D34"/>
  <c r="C34"/>
  <c r="U61" i="10"/>
  <c r="V61" s="1"/>
  <c r="U63"/>
  <c r="V63" s="1"/>
  <c r="U65"/>
  <c r="M69"/>
  <c r="K34" i="5" s="1"/>
  <c r="N69" i="10"/>
  <c r="O69"/>
  <c r="P69"/>
  <c r="R69"/>
  <c r="S69"/>
  <c r="T69"/>
  <c r="K68"/>
  <c r="K64"/>
  <c r="Q68"/>
  <c r="J68"/>
  <c r="Q67"/>
  <c r="J67"/>
  <c r="L67" s="1"/>
  <c r="U67" s="1"/>
  <c r="V67" s="1"/>
  <c r="Q65"/>
  <c r="V65" s="1"/>
  <c r="J65"/>
  <c r="L65" s="1"/>
  <c r="Q64"/>
  <c r="J64"/>
  <c r="Q63"/>
  <c r="J63"/>
  <c r="L63" s="1"/>
  <c r="Q62"/>
  <c r="J62"/>
  <c r="L62" s="1"/>
  <c r="U62" s="1"/>
  <c r="Q61"/>
  <c r="J61"/>
  <c r="L61" s="1"/>
  <c r="Q60"/>
  <c r="J60"/>
  <c r="L60" s="1"/>
  <c r="U60" s="1"/>
  <c r="Q59"/>
  <c r="J59"/>
  <c r="L59" s="1"/>
  <c r="U53"/>
  <c r="U52"/>
  <c r="F33" i="5"/>
  <c r="E33"/>
  <c r="D33"/>
  <c r="C33"/>
  <c r="K36" i="10"/>
  <c r="M37"/>
  <c r="K33" i="5" s="1"/>
  <c r="N37" i="10"/>
  <c r="L33" i="5" s="1"/>
  <c r="O37" i="10"/>
  <c r="P37"/>
  <c r="R37"/>
  <c r="S37"/>
  <c r="T37"/>
  <c r="Q35"/>
  <c r="J35"/>
  <c r="L35" s="1"/>
  <c r="U35" s="1"/>
  <c r="K30"/>
  <c r="K27"/>
  <c r="K28"/>
  <c r="K26"/>
  <c r="Q20"/>
  <c r="Q21"/>
  <c r="J20"/>
  <c r="L20" s="1"/>
  <c r="U20" s="1"/>
  <c r="J21"/>
  <c r="L21" s="1"/>
  <c r="U21" s="1"/>
  <c r="Q36"/>
  <c r="J36"/>
  <c r="Q34"/>
  <c r="J34"/>
  <c r="L34" s="1"/>
  <c r="U34" s="1"/>
  <c r="J33"/>
  <c r="L33" s="1"/>
  <c r="U33" s="1"/>
  <c r="V33" s="1"/>
  <c r="Q32"/>
  <c r="K32"/>
  <c r="J32"/>
  <c r="Q31"/>
  <c r="J31"/>
  <c r="Q30"/>
  <c r="J30"/>
  <c r="Q29"/>
  <c r="J29"/>
  <c r="L29" s="1"/>
  <c r="U29" s="1"/>
  <c r="Q28"/>
  <c r="J28"/>
  <c r="Q27"/>
  <c r="J27"/>
  <c r="Q26"/>
  <c r="J26"/>
  <c r="Q25"/>
  <c r="J25"/>
  <c r="L25" s="1"/>
  <c r="U25" s="1"/>
  <c r="Q24"/>
  <c r="J24"/>
  <c r="L24" s="1"/>
  <c r="U24" s="1"/>
  <c r="Q23"/>
  <c r="J23"/>
  <c r="L23" s="1"/>
  <c r="U23" s="1"/>
  <c r="Q22"/>
  <c r="J22"/>
  <c r="L22" s="1"/>
  <c r="U22" s="1"/>
  <c r="U14"/>
  <c r="U13"/>
  <c r="N30" i="5"/>
  <c r="L30"/>
  <c r="J30"/>
  <c r="I30"/>
  <c r="H30"/>
  <c r="F30"/>
  <c r="E30"/>
  <c r="D30"/>
  <c r="C30"/>
  <c r="V95" i="9"/>
  <c r="V96"/>
  <c r="V97"/>
  <c r="V98"/>
  <c r="V99"/>
  <c r="U95"/>
  <c r="U96"/>
  <c r="U97"/>
  <c r="U100" s="1"/>
  <c r="U98"/>
  <c r="U99"/>
  <c r="L100"/>
  <c r="M100"/>
  <c r="K30" i="5" s="1"/>
  <c r="N100" i="9"/>
  <c r="O100"/>
  <c r="P100"/>
  <c r="Q100"/>
  <c r="R100"/>
  <c r="S100"/>
  <c r="T100"/>
  <c r="K99"/>
  <c r="L99" s="1"/>
  <c r="K97"/>
  <c r="K96"/>
  <c r="Q99"/>
  <c r="J99"/>
  <c r="Q98"/>
  <c r="J98"/>
  <c r="L98" s="1"/>
  <c r="Q97"/>
  <c r="J97"/>
  <c r="Q96"/>
  <c r="J96"/>
  <c r="Q95"/>
  <c r="J95"/>
  <c r="L95" s="1"/>
  <c r="Q94"/>
  <c r="J94"/>
  <c r="L94" s="1"/>
  <c r="U94" s="1"/>
  <c r="U88"/>
  <c r="U87"/>
  <c r="K29" i="5"/>
  <c r="L29"/>
  <c r="F29"/>
  <c r="E29"/>
  <c r="D29"/>
  <c r="C29"/>
  <c r="K70" i="9"/>
  <c r="K65"/>
  <c r="K66"/>
  <c r="K67"/>
  <c r="K64"/>
  <c r="Q70"/>
  <c r="J70"/>
  <c r="Q68"/>
  <c r="J68"/>
  <c r="L68" s="1"/>
  <c r="U68" s="1"/>
  <c r="Q67"/>
  <c r="J67"/>
  <c r="Q66"/>
  <c r="J66"/>
  <c r="Q65"/>
  <c r="J65"/>
  <c r="Q64"/>
  <c r="J64"/>
  <c r="Q63"/>
  <c r="J63"/>
  <c r="L63" s="1"/>
  <c r="U63" s="1"/>
  <c r="Q62"/>
  <c r="J62"/>
  <c r="L62" s="1"/>
  <c r="U56"/>
  <c r="U55"/>
  <c r="C28" i="5"/>
  <c r="F28"/>
  <c r="E28"/>
  <c r="D28"/>
  <c r="K39" i="9"/>
  <c r="K124" i="7"/>
  <c r="Q123"/>
  <c r="J123"/>
  <c r="L123" s="1"/>
  <c r="U123" s="1"/>
  <c r="K32" i="9"/>
  <c r="G45" i="5" l="1"/>
  <c r="G46"/>
  <c r="U244" i="2"/>
  <c r="U251" s="1"/>
  <c r="N46" i="5" s="1"/>
  <c r="L251" i="2"/>
  <c r="I46" i="5" s="1"/>
  <c r="V217" i="2"/>
  <c r="V211"/>
  <c r="U220"/>
  <c r="E47" i="5"/>
  <c r="F47"/>
  <c r="J45"/>
  <c r="V123" i="7"/>
  <c r="J29" i="5"/>
  <c r="U69" i="10"/>
  <c r="N34" i="5" s="1"/>
  <c r="V62" i="10"/>
  <c r="V60"/>
  <c r="V64"/>
  <c r="Q69"/>
  <c r="J34" i="5" s="1"/>
  <c r="H44"/>
  <c r="V182" i="2"/>
  <c r="V150"/>
  <c r="V154"/>
  <c r="K156"/>
  <c r="V180"/>
  <c r="L219"/>
  <c r="K251"/>
  <c r="T237" s="1"/>
  <c r="V247"/>
  <c r="U243"/>
  <c r="V244"/>
  <c r="V248"/>
  <c r="V183"/>
  <c r="J44" i="5"/>
  <c r="U179" i="2"/>
  <c r="G44" i="5"/>
  <c r="V115" i="2"/>
  <c r="V119"/>
  <c r="G43" i="5"/>
  <c r="V181" i="2"/>
  <c r="K220"/>
  <c r="U210"/>
  <c r="G42" i="5"/>
  <c r="Q156" i="2"/>
  <c r="J43" i="5" s="1"/>
  <c r="V153" i="2"/>
  <c r="V152"/>
  <c r="T142"/>
  <c r="H43" i="5"/>
  <c r="Q126" i="2"/>
  <c r="J42" i="5" s="1"/>
  <c r="V117" i="2"/>
  <c r="V121"/>
  <c r="L118"/>
  <c r="U118" s="1"/>
  <c r="V125"/>
  <c r="L151"/>
  <c r="U151" s="1"/>
  <c r="U156" s="1"/>
  <c r="N43" i="5" s="1"/>
  <c r="L186" i="2"/>
  <c r="V109"/>
  <c r="V113"/>
  <c r="V108"/>
  <c r="V112"/>
  <c r="V120"/>
  <c r="U178"/>
  <c r="V110"/>
  <c r="V114"/>
  <c r="V118"/>
  <c r="V122"/>
  <c r="V124"/>
  <c r="U107"/>
  <c r="V107" s="1"/>
  <c r="V123"/>
  <c r="V69"/>
  <c r="V73"/>
  <c r="G41" i="5"/>
  <c r="K126" i="2"/>
  <c r="L155"/>
  <c r="U155" s="1"/>
  <c r="V155" s="1"/>
  <c r="V72"/>
  <c r="V77"/>
  <c r="L116"/>
  <c r="U116" s="1"/>
  <c r="V116" s="1"/>
  <c r="U148"/>
  <c r="V83"/>
  <c r="Q85"/>
  <c r="J41" i="5" s="1"/>
  <c r="V71" i="2"/>
  <c r="V80"/>
  <c r="V82"/>
  <c r="V75"/>
  <c r="V74"/>
  <c r="L79"/>
  <c r="U79" s="1"/>
  <c r="V79" s="1"/>
  <c r="L78"/>
  <c r="U78" s="1"/>
  <c r="V78" s="1"/>
  <c r="L84"/>
  <c r="U84" s="1"/>
  <c r="V84" s="1"/>
  <c r="G40" i="5"/>
  <c r="L76" i="2"/>
  <c r="U76" s="1"/>
  <c r="V76" s="1"/>
  <c r="L81"/>
  <c r="U81" s="1"/>
  <c r="V81" s="1"/>
  <c r="U68"/>
  <c r="K85"/>
  <c r="V24" i="11"/>
  <c r="V53"/>
  <c r="V55"/>
  <c r="Q28"/>
  <c r="J36" i="5" s="1"/>
  <c r="V54" i="11"/>
  <c r="L56"/>
  <c r="V50"/>
  <c r="U51"/>
  <c r="U56" s="1"/>
  <c r="T15"/>
  <c r="H36" i="5"/>
  <c r="V25" i="11"/>
  <c r="V27"/>
  <c r="V21"/>
  <c r="L23"/>
  <c r="U23" s="1"/>
  <c r="U20"/>
  <c r="L26"/>
  <c r="U26" s="1"/>
  <c r="V26" s="1"/>
  <c r="L68" i="10"/>
  <c r="U68" s="1"/>
  <c r="V68" s="1"/>
  <c r="V23"/>
  <c r="Q37"/>
  <c r="J33" i="5" s="1"/>
  <c r="V22" i="10"/>
  <c r="V34"/>
  <c r="V21"/>
  <c r="V25"/>
  <c r="V29"/>
  <c r="V24"/>
  <c r="V35"/>
  <c r="K37"/>
  <c r="H33" i="5" s="1"/>
  <c r="L64" i="10"/>
  <c r="U64" s="1"/>
  <c r="U59"/>
  <c r="K69"/>
  <c r="T54" s="1"/>
  <c r="V59"/>
  <c r="L36"/>
  <c r="V20"/>
  <c r="L30"/>
  <c r="U30" s="1"/>
  <c r="V30" s="1"/>
  <c r="L27"/>
  <c r="U27" s="1"/>
  <c r="V27" s="1"/>
  <c r="L28"/>
  <c r="U28" s="1"/>
  <c r="V28" s="1"/>
  <c r="L31"/>
  <c r="U31" s="1"/>
  <c r="V31" s="1"/>
  <c r="L26"/>
  <c r="U26" s="1"/>
  <c r="V26" s="1"/>
  <c r="T15"/>
  <c r="L32"/>
  <c r="U32" s="1"/>
  <c r="V32" s="1"/>
  <c r="L97" i="9"/>
  <c r="K100"/>
  <c r="T89" s="1"/>
  <c r="L96"/>
  <c r="V94"/>
  <c r="L70"/>
  <c r="U70" s="1"/>
  <c r="L64"/>
  <c r="U64" s="1"/>
  <c r="L66"/>
  <c r="U66" s="1"/>
  <c r="L67"/>
  <c r="U67" s="1"/>
  <c r="L65"/>
  <c r="U65" s="1"/>
  <c r="K71"/>
  <c r="U62"/>
  <c r="T40"/>
  <c r="S40"/>
  <c r="R40"/>
  <c r="P40"/>
  <c r="N40"/>
  <c r="L28" i="5" s="1"/>
  <c r="M40" i="9"/>
  <c r="K28" i="5" s="1"/>
  <c r="Q39" i="9"/>
  <c r="J39"/>
  <c r="L39" s="1"/>
  <c r="U39" s="1"/>
  <c r="Q38"/>
  <c r="J38"/>
  <c r="L38" s="1"/>
  <c r="U38" s="1"/>
  <c r="J37"/>
  <c r="L37" s="1"/>
  <c r="U37" s="1"/>
  <c r="V37" s="1"/>
  <c r="Q36"/>
  <c r="J36"/>
  <c r="L36" s="1"/>
  <c r="U36" s="1"/>
  <c r="Q35"/>
  <c r="J35"/>
  <c r="L35" s="1"/>
  <c r="U35" s="1"/>
  <c r="Q34"/>
  <c r="J34"/>
  <c r="L34" s="1"/>
  <c r="U34" s="1"/>
  <c r="Q33"/>
  <c r="J33"/>
  <c r="L33" s="1"/>
  <c r="U33" s="1"/>
  <c r="Q32"/>
  <c r="J32"/>
  <c r="L32" s="1"/>
  <c r="U32" s="1"/>
  <c r="Q31"/>
  <c r="K31"/>
  <c r="J31"/>
  <c r="Q30"/>
  <c r="J30"/>
  <c r="L30" s="1"/>
  <c r="U30" s="1"/>
  <c r="Q29"/>
  <c r="J29"/>
  <c r="L29" s="1"/>
  <c r="U29" s="1"/>
  <c r="Q28"/>
  <c r="J28"/>
  <c r="L28" s="1"/>
  <c r="U28" s="1"/>
  <c r="Q27"/>
  <c r="J27"/>
  <c r="L27" s="1"/>
  <c r="U27" s="1"/>
  <c r="Q26"/>
  <c r="K26"/>
  <c r="J26"/>
  <c r="Q25"/>
  <c r="J25"/>
  <c r="L25" s="1"/>
  <c r="U25" s="1"/>
  <c r="Q24"/>
  <c r="J24"/>
  <c r="L24" s="1"/>
  <c r="U24" s="1"/>
  <c r="Q23"/>
  <c r="J23"/>
  <c r="L23" s="1"/>
  <c r="U23" s="1"/>
  <c r="Q22"/>
  <c r="J22"/>
  <c r="L22" s="1"/>
  <c r="U22" s="1"/>
  <c r="Q21"/>
  <c r="J21"/>
  <c r="L21" s="1"/>
  <c r="U21" s="1"/>
  <c r="Q20"/>
  <c r="J20"/>
  <c r="L20" s="1"/>
  <c r="U14"/>
  <c r="U13"/>
  <c r="L26" i="5"/>
  <c r="K26"/>
  <c r="F26"/>
  <c r="E26"/>
  <c r="D26"/>
  <c r="C26"/>
  <c r="K285" i="7"/>
  <c r="F25" i="5"/>
  <c r="E25"/>
  <c r="D25"/>
  <c r="C25"/>
  <c r="Q285" i="7"/>
  <c r="J285"/>
  <c r="Q283"/>
  <c r="J283"/>
  <c r="L283" s="1"/>
  <c r="Q282"/>
  <c r="J282"/>
  <c r="L282" s="1"/>
  <c r="Q281"/>
  <c r="J281"/>
  <c r="L281" s="1"/>
  <c r="Q280"/>
  <c r="K280"/>
  <c r="J280"/>
  <c r="J279"/>
  <c r="L279" s="1"/>
  <c r="Q278"/>
  <c r="J278"/>
  <c r="L278" s="1"/>
  <c r="Q277"/>
  <c r="J277"/>
  <c r="L277" s="1"/>
  <c r="U277" s="1"/>
  <c r="U271"/>
  <c r="U270"/>
  <c r="T255"/>
  <c r="S255"/>
  <c r="R255"/>
  <c r="P255"/>
  <c r="O255"/>
  <c r="N255"/>
  <c r="L25" i="5" s="1"/>
  <c r="M255" i="7"/>
  <c r="K25" i="5" s="1"/>
  <c r="Q254" i="7"/>
  <c r="K254"/>
  <c r="J254"/>
  <c r="Q253"/>
  <c r="J253"/>
  <c r="L253" s="1"/>
  <c r="U253" s="1"/>
  <c r="Q252"/>
  <c r="J252"/>
  <c r="L252" s="1"/>
  <c r="U252" s="1"/>
  <c r="Q251"/>
  <c r="J251"/>
  <c r="L251" s="1"/>
  <c r="Q250"/>
  <c r="J250"/>
  <c r="L250" s="1"/>
  <c r="Q249"/>
  <c r="K249"/>
  <c r="J249"/>
  <c r="L249" s="1"/>
  <c r="U249" s="1"/>
  <c r="Q248"/>
  <c r="J248"/>
  <c r="L248" s="1"/>
  <c r="U248" s="1"/>
  <c r="Q247"/>
  <c r="J247"/>
  <c r="L247" s="1"/>
  <c r="U247" s="1"/>
  <c r="U241"/>
  <c r="U240"/>
  <c r="F24" i="5"/>
  <c r="E24"/>
  <c r="D24"/>
  <c r="C24"/>
  <c r="M226" i="7"/>
  <c r="K24" i="5" s="1"/>
  <c r="N226" i="7"/>
  <c r="L24" i="5" s="1"/>
  <c r="O226" i="7"/>
  <c r="P226"/>
  <c r="R226"/>
  <c r="S226"/>
  <c r="T226"/>
  <c r="Q222"/>
  <c r="J222"/>
  <c r="L222" s="1"/>
  <c r="U222" s="1"/>
  <c r="K221"/>
  <c r="K226" s="1"/>
  <c r="T210" s="1"/>
  <c r="K225"/>
  <c r="K220"/>
  <c r="Q223"/>
  <c r="Q224"/>
  <c r="J223"/>
  <c r="L223" s="1"/>
  <c r="U223" s="1"/>
  <c r="J224"/>
  <c r="L224" s="1"/>
  <c r="U224" s="1"/>
  <c r="Q225"/>
  <c r="J225"/>
  <c r="Q221"/>
  <c r="J221"/>
  <c r="Q220"/>
  <c r="J220"/>
  <c r="Q219"/>
  <c r="J219"/>
  <c r="L219" s="1"/>
  <c r="U219" s="1"/>
  <c r="Q218"/>
  <c r="J218"/>
  <c r="Q217"/>
  <c r="J217"/>
  <c r="L217" s="1"/>
  <c r="U217" s="1"/>
  <c r="Q216"/>
  <c r="J216"/>
  <c r="L216" s="1"/>
  <c r="U216" s="1"/>
  <c r="Q215"/>
  <c r="J215"/>
  <c r="L215" s="1"/>
  <c r="U209"/>
  <c r="U208"/>
  <c r="M194"/>
  <c r="K23" i="5" s="1"/>
  <c r="N194" i="7"/>
  <c r="L23" i="5" s="1"/>
  <c r="O194" i="7"/>
  <c r="P194"/>
  <c r="R194"/>
  <c r="S194"/>
  <c r="T194"/>
  <c r="L22" i="5"/>
  <c r="F22"/>
  <c r="E22"/>
  <c r="F23"/>
  <c r="E23"/>
  <c r="D23"/>
  <c r="C23"/>
  <c r="K193" i="7"/>
  <c r="K188"/>
  <c r="K189"/>
  <c r="K190"/>
  <c r="J186"/>
  <c r="Q193"/>
  <c r="J193"/>
  <c r="Q192"/>
  <c r="J192"/>
  <c r="L192" s="1"/>
  <c r="U192" s="1"/>
  <c r="Q191"/>
  <c r="J191"/>
  <c r="L191" s="1"/>
  <c r="U191" s="1"/>
  <c r="Q190"/>
  <c r="J190"/>
  <c r="Q189"/>
  <c r="J189"/>
  <c r="L189" s="1"/>
  <c r="U189" s="1"/>
  <c r="Q188"/>
  <c r="J188"/>
  <c r="Q187"/>
  <c r="J187"/>
  <c r="L187" s="1"/>
  <c r="U187" s="1"/>
  <c r="V187" s="1"/>
  <c r="Q186"/>
  <c r="L186"/>
  <c r="U180"/>
  <c r="U179"/>
  <c r="D22" i="5"/>
  <c r="C22"/>
  <c r="M165" i="7"/>
  <c r="K22" i="5" s="1"/>
  <c r="N165" i="7"/>
  <c r="O165"/>
  <c r="P165"/>
  <c r="R165"/>
  <c r="S165"/>
  <c r="T165"/>
  <c r="K164"/>
  <c r="Q161"/>
  <c r="Q162"/>
  <c r="Q163"/>
  <c r="Q164"/>
  <c r="J161"/>
  <c r="L161" s="1"/>
  <c r="U161" s="1"/>
  <c r="V161" s="1"/>
  <c r="J162"/>
  <c r="L162" s="1"/>
  <c r="U162" s="1"/>
  <c r="J163"/>
  <c r="L163" s="1"/>
  <c r="U163" s="1"/>
  <c r="V163" s="1"/>
  <c r="J164"/>
  <c r="K160"/>
  <c r="K157"/>
  <c r="K156"/>
  <c r="Q160"/>
  <c r="J160"/>
  <c r="Q159"/>
  <c r="J159"/>
  <c r="Q158"/>
  <c r="J158"/>
  <c r="L158" s="1"/>
  <c r="U158" s="1"/>
  <c r="Q157"/>
  <c r="J157"/>
  <c r="Q156"/>
  <c r="J156"/>
  <c r="Q155"/>
  <c r="J155"/>
  <c r="Q154"/>
  <c r="J154"/>
  <c r="L154" s="1"/>
  <c r="U154" s="1"/>
  <c r="Q153"/>
  <c r="J153"/>
  <c r="L153" s="1"/>
  <c r="U153" s="1"/>
  <c r="Q152"/>
  <c r="J152"/>
  <c r="L152" s="1"/>
  <c r="U152" s="1"/>
  <c r="Q151"/>
  <c r="J151"/>
  <c r="L151" s="1"/>
  <c r="U151" s="1"/>
  <c r="Q150"/>
  <c r="J150"/>
  <c r="L150" s="1"/>
  <c r="U150" s="1"/>
  <c r="U143"/>
  <c r="U142"/>
  <c r="F21" i="5"/>
  <c r="E21"/>
  <c r="D21"/>
  <c r="C21"/>
  <c r="M127" i="7"/>
  <c r="K21" i="5" s="1"/>
  <c r="N127" i="7"/>
  <c r="L21" i="5" s="1"/>
  <c r="P127" i="7"/>
  <c r="R127"/>
  <c r="S127"/>
  <c r="T127"/>
  <c r="K113"/>
  <c r="K118"/>
  <c r="K114"/>
  <c r="K115"/>
  <c r="V179" i="2" l="1"/>
  <c r="V187" s="1"/>
  <c r="U187"/>
  <c r="N44" i="5" s="1"/>
  <c r="V251" i="2"/>
  <c r="O46" i="5" s="1"/>
  <c r="Q46" s="1"/>
  <c r="G47"/>
  <c r="V220" i="2"/>
  <c r="V222" i="7"/>
  <c r="L69" i="10"/>
  <c r="I34" i="5" s="1"/>
  <c r="T204" i="2"/>
  <c r="H45" i="5"/>
  <c r="N45"/>
  <c r="L220" i="2"/>
  <c r="I45" i="5" s="1"/>
  <c r="L187" i="2"/>
  <c r="I44" i="5" s="1"/>
  <c r="V210" i="2"/>
  <c r="O45" i="5" s="1"/>
  <c r="P45" s="1"/>
  <c r="L156" i="2"/>
  <c r="I43" i="5" s="1"/>
  <c r="V151" i="2"/>
  <c r="V178"/>
  <c r="O44" i="5" s="1"/>
  <c r="Q44" s="1"/>
  <c r="T62" i="2"/>
  <c r="H41" i="5"/>
  <c r="U126" i="2"/>
  <c r="N42" i="5" s="1"/>
  <c r="T101" i="2"/>
  <c r="H42" i="5"/>
  <c r="L126" i="2"/>
  <c r="I42" i="5" s="1"/>
  <c r="V148" i="2"/>
  <c r="V156" s="1"/>
  <c r="O43" i="5" s="1"/>
  <c r="P43" s="1"/>
  <c r="P47" s="1"/>
  <c r="V126" i="2"/>
  <c r="O42" i="5" s="1"/>
  <c r="Q42" s="1"/>
  <c r="U85" i="2"/>
  <c r="N41" i="5" s="1"/>
  <c r="L85" i="2"/>
  <c r="I41" i="5" s="1"/>
  <c r="V68" i="2"/>
  <c r="V85" s="1"/>
  <c r="O41" i="5" s="1"/>
  <c r="Q41" s="1"/>
  <c r="G26"/>
  <c r="U28" i="11"/>
  <c r="N36" i="5" s="1"/>
  <c r="V51" i="11"/>
  <c r="V56" s="1"/>
  <c r="O37" i="5" s="1"/>
  <c r="V23" i="11"/>
  <c r="L28"/>
  <c r="I36" i="5" s="1"/>
  <c r="V20" i="11"/>
  <c r="V69" i="10"/>
  <c r="O34" i="5" s="1"/>
  <c r="P34" s="1"/>
  <c r="U36" i="10"/>
  <c r="L37"/>
  <c r="I33" i="5" s="1"/>
  <c r="V100" i="9"/>
  <c r="O30" i="5" s="1"/>
  <c r="P30" s="1"/>
  <c r="V62" i="9"/>
  <c r="O29" i="5" s="1"/>
  <c r="P29" s="1"/>
  <c r="P32" s="1"/>
  <c r="N29"/>
  <c r="T57" i="9"/>
  <c r="H29" i="5"/>
  <c r="L71" i="9"/>
  <c r="I29" i="5" s="1"/>
  <c r="V21" i="9"/>
  <c r="V23"/>
  <c r="V25"/>
  <c r="V38"/>
  <c r="L26"/>
  <c r="U26" s="1"/>
  <c r="V29"/>
  <c r="V32"/>
  <c r="V36"/>
  <c r="V26"/>
  <c r="V28"/>
  <c r="V30"/>
  <c r="V33"/>
  <c r="V35"/>
  <c r="V27"/>
  <c r="V34"/>
  <c r="V22"/>
  <c r="V24"/>
  <c r="V39"/>
  <c r="K40"/>
  <c r="L31"/>
  <c r="U31" s="1"/>
  <c r="V31" s="1"/>
  <c r="U20"/>
  <c r="Q40"/>
  <c r="J28" i="5" s="1"/>
  <c r="V189" i="7"/>
  <c r="K255"/>
  <c r="L280"/>
  <c r="V247"/>
  <c r="V152"/>
  <c r="K286"/>
  <c r="T242"/>
  <c r="H25" i="5"/>
  <c r="U251" i="7"/>
  <c r="V251" s="1"/>
  <c r="U250"/>
  <c r="V250"/>
  <c r="J26" i="5"/>
  <c r="L285" i="7"/>
  <c r="V253"/>
  <c r="V249"/>
  <c r="L221"/>
  <c r="U221" s="1"/>
  <c r="L254"/>
  <c r="V252"/>
  <c r="V248"/>
  <c r="Q255"/>
  <c r="J25" i="5" s="1"/>
  <c r="V277" i="7"/>
  <c r="V223"/>
  <c r="G25" i="5"/>
  <c r="V216" i="7"/>
  <c r="Q226"/>
  <c r="J24" i="5" s="1"/>
  <c r="G24"/>
  <c r="U215" i="7"/>
  <c r="V215" s="1"/>
  <c r="V217"/>
  <c r="V219"/>
  <c r="V221"/>
  <c r="V224"/>
  <c r="H24" i="5"/>
  <c r="L156" i="7"/>
  <c r="U156" s="1"/>
  <c r="V156" s="1"/>
  <c r="L220"/>
  <c r="U220" s="1"/>
  <c r="V220" s="1"/>
  <c r="L225"/>
  <c r="U225" s="1"/>
  <c r="V225" s="1"/>
  <c r="L188"/>
  <c r="U188" s="1"/>
  <c r="V188" s="1"/>
  <c r="V191"/>
  <c r="G23" i="5"/>
  <c r="Q194" i="7"/>
  <c r="J23" i="5" s="1"/>
  <c r="V192" i="7"/>
  <c r="L218"/>
  <c r="U218" s="1"/>
  <c r="V218" s="1"/>
  <c r="L193"/>
  <c r="U193" s="1"/>
  <c r="V193" s="1"/>
  <c r="V153"/>
  <c r="Q165"/>
  <c r="J22" i="5" s="1"/>
  <c r="L190" i="7"/>
  <c r="U190" s="1"/>
  <c r="V190" s="1"/>
  <c r="U186"/>
  <c r="K194"/>
  <c r="K165"/>
  <c r="L164"/>
  <c r="U164" s="1"/>
  <c r="V164" s="1"/>
  <c r="V162"/>
  <c r="L160"/>
  <c r="U160" s="1"/>
  <c r="V160" s="1"/>
  <c r="L157"/>
  <c r="U157" s="1"/>
  <c r="V157" s="1"/>
  <c r="L155"/>
  <c r="U155" s="1"/>
  <c r="V155" s="1"/>
  <c r="V154"/>
  <c r="L159"/>
  <c r="U159" s="1"/>
  <c r="V159" s="1"/>
  <c r="V151"/>
  <c r="V158"/>
  <c r="V150"/>
  <c r="P37" i="5" l="1"/>
  <c r="Q37" s="1"/>
  <c r="Q39" s="1"/>
  <c r="T272" i="7"/>
  <c r="H26" i="5"/>
  <c r="N26"/>
  <c r="V28" i="11"/>
  <c r="O36" i="5" s="1"/>
  <c r="P36" s="1"/>
  <c r="P39" s="1"/>
  <c r="V36" i="10"/>
  <c r="V37" s="1"/>
  <c r="O33" i="5" s="1"/>
  <c r="P33" s="1"/>
  <c r="P35" s="1"/>
  <c r="U37" i="10"/>
  <c r="N33" i="5" s="1"/>
  <c r="T15" i="9"/>
  <c r="H28" i="5"/>
  <c r="L40" i="9"/>
  <c r="I28" i="5" s="1"/>
  <c r="U40" i="9"/>
  <c r="N28" i="5" s="1"/>
  <c r="V20" i="9"/>
  <c r="V40" s="1"/>
  <c r="O28" i="5" s="1"/>
  <c r="U254" i="7"/>
  <c r="U255" s="1"/>
  <c r="N25" i="5" s="1"/>
  <c r="V254" i="7"/>
  <c r="V255" s="1"/>
  <c r="O25" i="5" s="1"/>
  <c r="P25" s="1"/>
  <c r="L255" i="7"/>
  <c r="I25" i="5" s="1"/>
  <c r="V226" i="7"/>
  <c r="O24" i="5" s="1"/>
  <c r="L286" i="7"/>
  <c r="I26" i="5" s="1"/>
  <c r="T181" i="7"/>
  <c r="H23" i="5"/>
  <c r="U226" i="7"/>
  <c r="N24" i="5" s="1"/>
  <c r="L226" i="7"/>
  <c r="I24" i="5" s="1"/>
  <c r="T144" i="7"/>
  <c r="H22" i="5"/>
  <c r="U194" i="7"/>
  <c r="N23" i="5" s="1"/>
  <c r="L194" i="7"/>
  <c r="I23" i="5" s="1"/>
  <c r="V165" i="7"/>
  <c r="O22" i="5" s="1"/>
  <c r="Q22" s="1"/>
  <c r="L165" i="7"/>
  <c r="I22" i="5" s="1"/>
  <c r="U165" i="7"/>
  <c r="N22" i="5" s="1"/>
  <c r="V186" i="7"/>
  <c r="V194" s="1"/>
  <c r="P24" i="5" l="1"/>
  <c r="Q24" s="1"/>
  <c r="O32"/>
  <c r="Q28"/>
  <c r="Q32" s="1"/>
  <c r="V286" i="7"/>
  <c r="O23" i="5"/>
  <c r="P23" s="1"/>
  <c r="K109" i="7" l="1"/>
  <c r="K110"/>
  <c r="Q109"/>
  <c r="Q108"/>
  <c r="M82"/>
  <c r="K20" i="5" s="1"/>
  <c r="L20"/>
  <c r="F20"/>
  <c r="E20"/>
  <c r="D20"/>
  <c r="C20"/>
  <c r="K71" i="7"/>
  <c r="K81"/>
  <c r="K76"/>
  <c r="J80"/>
  <c r="L80" s="1"/>
  <c r="U80" s="1"/>
  <c r="J81"/>
  <c r="K75"/>
  <c r="F19" i="5"/>
  <c r="E19"/>
  <c r="D19"/>
  <c r="C19"/>
  <c r="K40" i="7"/>
  <c r="J38"/>
  <c r="L38" s="1"/>
  <c r="U38" s="1"/>
  <c r="V38" s="1"/>
  <c r="E27" i="5" l="1"/>
  <c r="F27"/>
  <c r="L81" i="7"/>
  <c r="U81" s="1"/>
  <c r="K32" l="1"/>
  <c r="K31"/>
  <c r="K26" l="1"/>
  <c r="Q23"/>
  <c r="Q126"/>
  <c r="J126"/>
  <c r="L126" s="1"/>
  <c r="U126" s="1"/>
  <c r="Q125"/>
  <c r="J125"/>
  <c r="L125" s="1"/>
  <c r="U125" s="1"/>
  <c r="Q124"/>
  <c r="J124"/>
  <c r="L124" s="1"/>
  <c r="U124" s="1"/>
  <c r="Q121"/>
  <c r="J121"/>
  <c r="L121" s="1"/>
  <c r="U121" s="1"/>
  <c r="Q120"/>
  <c r="J120"/>
  <c r="L120" s="1"/>
  <c r="U120" s="1"/>
  <c r="Q119"/>
  <c r="J119"/>
  <c r="L119" s="1"/>
  <c r="U119" s="1"/>
  <c r="Q118"/>
  <c r="J118"/>
  <c r="L118" s="1"/>
  <c r="U118" s="1"/>
  <c r="Q117"/>
  <c r="J117"/>
  <c r="L117" s="1"/>
  <c r="U117" s="1"/>
  <c r="Q116"/>
  <c r="J116"/>
  <c r="Q115"/>
  <c r="J115"/>
  <c r="L115" s="1"/>
  <c r="U115" s="1"/>
  <c r="Q114"/>
  <c r="J114"/>
  <c r="L114" s="1"/>
  <c r="U114" s="1"/>
  <c r="Q113"/>
  <c r="J113"/>
  <c r="L113" s="1"/>
  <c r="U113" s="1"/>
  <c r="Q112"/>
  <c r="J112"/>
  <c r="Q111"/>
  <c r="J111"/>
  <c r="L111" s="1"/>
  <c r="U111" s="1"/>
  <c r="Q110"/>
  <c r="J110"/>
  <c r="L110" s="1"/>
  <c r="U110" s="1"/>
  <c r="J109"/>
  <c r="L109" s="1"/>
  <c r="U109" s="1"/>
  <c r="V109" s="1"/>
  <c r="J108"/>
  <c r="L108" s="1"/>
  <c r="U108" s="1"/>
  <c r="V108" s="1"/>
  <c r="Q107"/>
  <c r="J107"/>
  <c r="L107" s="1"/>
  <c r="U107" s="1"/>
  <c r="Q106"/>
  <c r="J106"/>
  <c r="L106" s="1"/>
  <c r="U99"/>
  <c r="U98"/>
  <c r="Q81"/>
  <c r="Q78"/>
  <c r="J78"/>
  <c r="L78" s="1"/>
  <c r="U78" s="1"/>
  <c r="Q77"/>
  <c r="J77"/>
  <c r="L77" s="1"/>
  <c r="U77" s="1"/>
  <c r="Q76"/>
  <c r="J76"/>
  <c r="L76" s="1"/>
  <c r="U76" s="1"/>
  <c r="Q75"/>
  <c r="J75"/>
  <c r="L75" s="1"/>
  <c r="U75" s="1"/>
  <c r="Q74"/>
  <c r="J74"/>
  <c r="L74" s="1"/>
  <c r="U74" s="1"/>
  <c r="Q73"/>
  <c r="J73"/>
  <c r="L73" s="1"/>
  <c r="U73" s="1"/>
  <c r="Q72"/>
  <c r="J72"/>
  <c r="L72" s="1"/>
  <c r="U72" s="1"/>
  <c r="Q71"/>
  <c r="J71"/>
  <c r="L71" s="1"/>
  <c r="U71" s="1"/>
  <c r="Q70"/>
  <c r="J70"/>
  <c r="L70" s="1"/>
  <c r="U70" s="1"/>
  <c r="Q69"/>
  <c r="J69"/>
  <c r="L69" s="1"/>
  <c r="U69" s="1"/>
  <c r="U82" s="1"/>
  <c r="Q68"/>
  <c r="J68"/>
  <c r="L68" s="1"/>
  <c r="U68" s="1"/>
  <c r="Q67"/>
  <c r="J67"/>
  <c r="L67" s="1"/>
  <c r="U60"/>
  <c r="U59"/>
  <c r="T41"/>
  <c r="S41"/>
  <c r="R41"/>
  <c r="P41"/>
  <c r="N41"/>
  <c r="L19" i="5" s="1"/>
  <c r="L27" s="1"/>
  <c r="M41" i="7"/>
  <c r="K19" i="5" s="1"/>
  <c r="K27" s="1"/>
  <c r="Q40" i="7"/>
  <c r="J40"/>
  <c r="L40" s="1"/>
  <c r="U40" s="1"/>
  <c r="Q39"/>
  <c r="J39"/>
  <c r="L39" s="1"/>
  <c r="U39" s="1"/>
  <c r="Q36"/>
  <c r="J36"/>
  <c r="L36" s="1"/>
  <c r="U36" s="1"/>
  <c r="Q35"/>
  <c r="J35"/>
  <c r="L35" s="1"/>
  <c r="U35" s="1"/>
  <c r="Q34"/>
  <c r="J34"/>
  <c r="L34" s="1"/>
  <c r="U34" s="1"/>
  <c r="Q33"/>
  <c r="J33"/>
  <c r="L33" s="1"/>
  <c r="U33" s="1"/>
  <c r="Q32"/>
  <c r="J32"/>
  <c r="L32" s="1"/>
  <c r="U32" s="1"/>
  <c r="Q31"/>
  <c r="J31"/>
  <c r="L31" s="1"/>
  <c r="U31" s="1"/>
  <c r="Q30"/>
  <c r="J30"/>
  <c r="L30" s="1"/>
  <c r="U30" s="1"/>
  <c r="Q29"/>
  <c r="J29"/>
  <c r="L29" s="1"/>
  <c r="U29" s="1"/>
  <c r="Q28"/>
  <c r="J28"/>
  <c r="L28" s="1"/>
  <c r="U28" s="1"/>
  <c r="Q27"/>
  <c r="J27"/>
  <c r="L27" s="1"/>
  <c r="U27" s="1"/>
  <c r="Q26"/>
  <c r="J26"/>
  <c r="L26" s="1"/>
  <c r="U26" s="1"/>
  <c r="Q25"/>
  <c r="J25"/>
  <c r="L25" s="1"/>
  <c r="U25" s="1"/>
  <c r="Q24"/>
  <c r="J24"/>
  <c r="L24" s="1"/>
  <c r="U24" s="1"/>
  <c r="K41"/>
  <c r="J23"/>
  <c r="L23" s="1"/>
  <c r="U23" s="1"/>
  <c r="Q22"/>
  <c r="J22"/>
  <c r="L22" s="1"/>
  <c r="U22" s="1"/>
  <c r="Q21"/>
  <c r="J21"/>
  <c r="L21" s="1"/>
  <c r="U21" s="1"/>
  <c r="Q20"/>
  <c r="J20"/>
  <c r="L20" s="1"/>
  <c r="U20" s="1"/>
  <c r="U14"/>
  <c r="U13"/>
  <c r="K117" i="6"/>
  <c r="K112"/>
  <c r="K111"/>
  <c r="Q105"/>
  <c r="F17" i="5"/>
  <c r="E17"/>
  <c r="D17"/>
  <c r="C17"/>
  <c r="L17"/>
  <c r="K17"/>
  <c r="Q117" i="6"/>
  <c r="J117"/>
  <c r="Q116"/>
  <c r="J116"/>
  <c r="Q115"/>
  <c r="J115"/>
  <c r="L115" s="1"/>
  <c r="U115" s="1"/>
  <c r="Q113"/>
  <c r="J113"/>
  <c r="L113" s="1"/>
  <c r="U113" s="1"/>
  <c r="Q112"/>
  <c r="J112"/>
  <c r="Q111"/>
  <c r="J111"/>
  <c r="L111" s="1"/>
  <c r="U111" s="1"/>
  <c r="Q110"/>
  <c r="J110"/>
  <c r="L110" s="1"/>
  <c r="U110" s="1"/>
  <c r="Q109"/>
  <c r="J109"/>
  <c r="L109" s="1"/>
  <c r="U109" s="1"/>
  <c r="Q108"/>
  <c r="J108"/>
  <c r="L108" s="1"/>
  <c r="U108" s="1"/>
  <c r="Q107"/>
  <c r="J107"/>
  <c r="L107" s="1"/>
  <c r="U107" s="1"/>
  <c r="V107" s="1"/>
  <c r="Q106"/>
  <c r="J106"/>
  <c r="L106" s="1"/>
  <c r="U106" s="1"/>
  <c r="J105"/>
  <c r="L105" s="1"/>
  <c r="U105" s="1"/>
  <c r="Q104"/>
  <c r="J104"/>
  <c r="L104" s="1"/>
  <c r="U97"/>
  <c r="U96"/>
  <c r="M82"/>
  <c r="K16" i="5" s="1"/>
  <c r="N82" i="6"/>
  <c r="L16" i="5" s="1"/>
  <c r="P82" i="6"/>
  <c r="R82"/>
  <c r="S82"/>
  <c r="T82"/>
  <c r="F16" i="5"/>
  <c r="E16"/>
  <c r="D16"/>
  <c r="C16"/>
  <c r="J80" i="6"/>
  <c r="L80" s="1"/>
  <c r="U80" s="1"/>
  <c r="V80" s="1"/>
  <c r="Q79"/>
  <c r="Q80"/>
  <c r="J79"/>
  <c r="L79" s="1"/>
  <c r="U79" s="1"/>
  <c r="V79" s="1"/>
  <c r="K81"/>
  <c r="J78"/>
  <c r="K78"/>
  <c r="Q78"/>
  <c r="K77"/>
  <c r="K73"/>
  <c r="Q73"/>
  <c r="Q74"/>
  <c r="Q75"/>
  <c r="Q76"/>
  <c r="Q77"/>
  <c r="Q81"/>
  <c r="J73"/>
  <c r="J74"/>
  <c r="L74" s="1"/>
  <c r="U74" s="1"/>
  <c r="J75"/>
  <c r="L75" s="1"/>
  <c r="U75" s="1"/>
  <c r="J76"/>
  <c r="L76" s="1"/>
  <c r="U76" s="1"/>
  <c r="J77"/>
  <c r="K72"/>
  <c r="K71"/>
  <c r="V113" l="1"/>
  <c r="G17" i="5"/>
  <c r="V126" i="7"/>
  <c r="Q127"/>
  <c r="J21" i="5" s="1"/>
  <c r="V107" i="7"/>
  <c r="V110"/>
  <c r="V114"/>
  <c r="V118"/>
  <c r="V120"/>
  <c r="V124"/>
  <c r="V29"/>
  <c r="V35"/>
  <c r="V39"/>
  <c r="V111"/>
  <c r="V113"/>
  <c r="V115"/>
  <c r="V117"/>
  <c r="V119"/>
  <c r="V121"/>
  <c r="V68"/>
  <c r="V70"/>
  <c r="V74"/>
  <c r="V78"/>
  <c r="U67"/>
  <c r="L82"/>
  <c r="I20" i="5" s="1"/>
  <c r="V72" i="7"/>
  <c r="V76"/>
  <c r="T15"/>
  <c r="H19" i="5"/>
  <c r="J20"/>
  <c r="V69" i="7"/>
  <c r="V82" s="1"/>
  <c r="V71"/>
  <c r="V73"/>
  <c r="V75"/>
  <c r="V77"/>
  <c r="V32"/>
  <c r="V36"/>
  <c r="V26"/>
  <c r="V27"/>
  <c r="V40"/>
  <c r="K82"/>
  <c r="L116"/>
  <c r="U116" s="1"/>
  <c r="V116" s="1"/>
  <c r="V30"/>
  <c r="V31"/>
  <c r="V25"/>
  <c r="V24"/>
  <c r="V23"/>
  <c r="V22"/>
  <c r="U41"/>
  <c r="N19" i="5" s="1"/>
  <c r="V20" i="7"/>
  <c r="V34"/>
  <c r="L112"/>
  <c r="U112" s="1"/>
  <c r="V112" s="1"/>
  <c r="K127"/>
  <c r="V125"/>
  <c r="V21"/>
  <c r="V28"/>
  <c r="V33"/>
  <c r="L41"/>
  <c r="I19" i="5" s="1"/>
  <c r="Q41" i="7"/>
  <c r="J19" i="5" s="1"/>
  <c r="U106" i="7"/>
  <c r="L117" i="6"/>
  <c r="U117" s="1"/>
  <c r="V108"/>
  <c r="V110"/>
  <c r="V74"/>
  <c r="L78"/>
  <c r="U78" s="1"/>
  <c r="V78" s="1"/>
  <c r="K118"/>
  <c r="T98" s="1"/>
  <c r="L112"/>
  <c r="U112" s="1"/>
  <c r="V112" s="1"/>
  <c r="L116"/>
  <c r="U116" s="1"/>
  <c r="V116" s="1"/>
  <c r="V117"/>
  <c r="U104"/>
  <c r="V111"/>
  <c r="V106"/>
  <c r="V109"/>
  <c r="V105"/>
  <c r="V115"/>
  <c r="J17" i="5"/>
  <c r="V75" i="6"/>
  <c r="L73"/>
  <c r="U73" s="1"/>
  <c r="V73" s="1"/>
  <c r="V76"/>
  <c r="L77"/>
  <c r="U77" s="1"/>
  <c r="V77" s="1"/>
  <c r="J27" i="5" l="1"/>
  <c r="V67" i="7"/>
  <c r="O20" i="5" s="1"/>
  <c r="Q20" s="1"/>
  <c r="Q27" s="1"/>
  <c r="U127" i="7"/>
  <c r="N21" i="5" s="1"/>
  <c r="T100" i="7"/>
  <c r="H21" i="5"/>
  <c r="L127" i="7"/>
  <c r="I21" i="5" s="1"/>
  <c r="I27" s="1"/>
  <c r="T61" i="7"/>
  <c r="H20" i="5"/>
  <c r="N20"/>
  <c r="V41" i="7"/>
  <c r="O19" i="5" s="1"/>
  <c r="P19" s="1"/>
  <c r="P27" s="1"/>
  <c r="V106" i="7"/>
  <c r="V127" s="1"/>
  <c r="O21" i="5" s="1"/>
  <c r="P21" s="1"/>
  <c r="H17"/>
  <c r="L118" i="6"/>
  <c r="I17" i="5" s="1"/>
  <c r="N17"/>
  <c r="V104" i="6"/>
  <c r="O17" i="5" s="1"/>
  <c r="Q17" s="1"/>
  <c r="H27" l="1"/>
  <c r="O27"/>
  <c r="N27"/>
  <c r="F15"/>
  <c r="F18" s="1"/>
  <c r="E15"/>
  <c r="E18" s="1"/>
  <c r="D15"/>
  <c r="C15"/>
  <c r="M41" i="6"/>
  <c r="K15" i="5" s="1"/>
  <c r="K18" s="1"/>
  <c r="L15"/>
  <c r="L18" s="1"/>
  <c r="K40" i="6"/>
  <c r="Q38"/>
  <c r="V38" s="1"/>
  <c r="J38"/>
  <c r="L38" s="1"/>
  <c r="U38" s="1"/>
  <c r="K31"/>
  <c r="K32"/>
  <c r="Q39"/>
  <c r="V39" s="1"/>
  <c r="J39"/>
  <c r="L39" s="1"/>
  <c r="U39" s="1"/>
  <c r="J40"/>
  <c r="Q33"/>
  <c r="Q34"/>
  <c r="Q35"/>
  <c r="Q36"/>
  <c r="Q40"/>
  <c r="J33"/>
  <c r="L33" s="1"/>
  <c r="U33" s="1"/>
  <c r="J34"/>
  <c r="L34" s="1"/>
  <c r="U34" s="1"/>
  <c r="J35"/>
  <c r="L35" s="1"/>
  <c r="U35" s="1"/>
  <c r="J36"/>
  <c r="L36" s="1"/>
  <c r="U36" s="1"/>
  <c r="J26"/>
  <c r="Q26"/>
  <c r="Q22"/>
  <c r="K82"/>
  <c r="J81"/>
  <c r="L81" s="1"/>
  <c r="U81" s="1"/>
  <c r="V81" s="1"/>
  <c r="Q72"/>
  <c r="J72"/>
  <c r="L72" s="1"/>
  <c r="U72" s="1"/>
  <c r="Q71"/>
  <c r="J71"/>
  <c r="L71" s="1"/>
  <c r="U71" s="1"/>
  <c r="Q70"/>
  <c r="J70"/>
  <c r="L70" s="1"/>
  <c r="U70" s="1"/>
  <c r="Q69"/>
  <c r="J69"/>
  <c r="L69" s="1"/>
  <c r="U69" s="1"/>
  <c r="J68"/>
  <c r="L68" s="1"/>
  <c r="U68" s="1"/>
  <c r="Q67"/>
  <c r="J67"/>
  <c r="L67" s="1"/>
  <c r="U67" s="1"/>
  <c r="Q66"/>
  <c r="J66"/>
  <c r="L66" s="1"/>
  <c r="U59"/>
  <c r="U58"/>
  <c r="Q32"/>
  <c r="J32"/>
  <c r="Q31"/>
  <c r="J31"/>
  <c r="Q30"/>
  <c r="J30"/>
  <c r="L30" s="1"/>
  <c r="U30" s="1"/>
  <c r="Q29"/>
  <c r="J29"/>
  <c r="L29" s="1"/>
  <c r="U29" s="1"/>
  <c r="Q28"/>
  <c r="J28"/>
  <c r="L28" s="1"/>
  <c r="U28" s="1"/>
  <c r="Q27"/>
  <c r="J27"/>
  <c r="L27" s="1"/>
  <c r="U27" s="1"/>
  <c r="Q25"/>
  <c r="J25"/>
  <c r="L25" s="1"/>
  <c r="U25" s="1"/>
  <c r="Q24"/>
  <c r="J24"/>
  <c r="L24" s="1"/>
  <c r="U24" s="1"/>
  <c r="Q23"/>
  <c r="J23"/>
  <c r="L23" s="1"/>
  <c r="U23" s="1"/>
  <c r="J22"/>
  <c r="L22" s="1"/>
  <c r="U22" s="1"/>
  <c r="Q21"/>
  <c r="J21"/>
  <c r="L21" s="1"/>
  <c r="Q20"/>
  <c r="J20"/>
  <c r="L20" s="1"/>
  <c r="U14"/>
  <c r="U13"/>
  <c r="M257" i="3"/>
  <c r="K13" i="5" s="1"/>
  <c r="L13"/>
  <c r="K256" i="3"/>
  <c r="J251"/>
  <c r="L251" s="1"/>
  <c r="U251" s="1"/>
  <c r="V251" s="1"/>
  <c r="J252"/>
  <c r="L252" s="1"/>
  <c r="U252" s="1"/>
  <c r="V252" s="1"/>
  <c r="J253"/>
  <c r="L253" s="1"/>
  <c r="U253" s="1"/>
  <c r="V253" s="1"/>
  <c r="J254"/>
  <c r="L254" s="1"/>
  <c r="U254" s="1"/>
  <c r="V254" s="1"/>
  <c r="K247"/>
  <c r="K257" s="1"/>
  <c r="T241" s="1"/>
  <c r="J13" i="5"/>
  <c r="F13"/>
  <c r="E13"/>
  <c r="D13"/>
  <c r="C13"/>
  <c r="F7"/>
  <c r="J256" i="3"/>
  <c r="Q250"/>
  <c r="J250"/>
  <c r="L250" s="1"/>
  <c r="U250" s="1"/>
  <c r="Q249"/>
  <c r="V249" s="1"/>
  <c r="J249"/>
  <c r="L249" s="1"/>
  <c r="U249" s="1"/>
  <c r="Q248"/>
  <c r="J248"/>
  <c r="L248" s="1"/>
  <c r="U248" s="1"/>
  <c r="Q247"/>
  <c r="J247"/>
  <c r="Q246"/>
  <c r="J246"/>
  <c r="L246" s="1"/>
  <c r="U246" s="1"/>
  <c r="U240"/>
  <c r="U239"/>
  <c r="F12" i="5"/>
  <c r="E12"/>
  <c r="D12"/>
  <c r="C12"/>
  <c r="M224" i="3"/>
  <c r="K12" i="5" s="1"/>
  <c r="N224" i="3"/>
  <c r="L12" i="5" s="1"/>
  <c r="P224" i="3"/>
  <c r="R224"/>
  <c r="K223"/>
  <c r="K221"/>
  <c r="K220"/>
  <c r="J223"/>
  <c r="Q221"/>
  <c r="J221"/>
  <c r="L221" s="1"/>
  <c r="U221" s="1"/>
  <c r="Q220"/>
  <c r="J220"/>
  <c r="Q219"/>
  <c r="J219"/>
  <c r="L219" s="1"/>
  <c r="U219" s="1"/>
  <c r="Q218"/>
  <c r="J218"/>
  <c r="L218" s="1"/>
  <c r="U218" s="1"/>
  <c r="Q217"/>
  <c r="J217"/>
  <c r="L217" s="1"/>
  <c r="U211"/>
  <c r="U210"/>
  <c r="M196"/>
  <c r="K11" i="5" s="1"/>
  <c r="N196" i="3"/>
  <c r="L11" i="5" s="1"/>
  <c r="P196" i="3"/>
  <c r="R196"/>
  <c r="F11" i="5"/>
  <c r="E11"/>
  <c r="D11"/>
  <c r="C11"/>
  <c r="K195" i="3"/>
  <c r="K184"/>
  <c r="J184"/>
  <c r="Q184"/>
  <c r="J195"/>
  <c r="L195" s="1"/>
  <c r="U195" s="1"/>
  <c r="V195" s="1"/>
  <c r="Q194"/>
  <c r="J194"/>
  <c r="L194" s="1"/>
  <c r="U194" s="1"/>
  <c r="Q193"/>
  <c r="J193"/>
  <c r="L193" s="1"/>
  <c r="U193" s="1"/>
  <c r="Q192"/>
  <c r="J192"/>
  <c r="L192" s="1"/>
  <c r="U192" s="1"/>
  <c r="Q191"/>
  <c r="J191"/>
  <c r="L191" s="1"/>
  <c r="U191" s="1"/>
  <c r="Q190"/>
  <c r="K190"/>
  <c r="J190"/>
  <c r="Q189"/>
  <c r="K189"/>
  <c r="J189"/>
  <c r="Q188"/>
  <c r="K188"/>
  <c r="J188"/>
  <c r="Q187"/>
  <c r="J187"/>
  <c r="L187" s="1"/>
  <c r="U187" s="1"/>
  <c r="Q186"/>
  <c r="J186"/>
  <c r="L186" s="1"/>
  <c r="U186" s="1"/>
  <c r="Q185"/>
  <c r="J185"/>
  <c r="L185" s="1"/>
  <c r="U185" s="1"/>
  <c r="Q183"/>
  <c r="J183"/>
  <c r="L183" s="1"/>
  <c r="U183" s="1"/>
  <c r="Q182"/>
  <c r="J182"/>
  <c r="L182" s="1"/>
  <c r="U176"/>
  <c r="U175"/>
  <c r="F10" i="5"/>
  <c r="E10"/>
  <c r="D10"/>
  <c r="C10"/>
  <c r="M161" i="3"/>
  <c r="K10" i="5" s="1"/>
  <c r="N161" i="3"/>
  <c r="L10" i="5" s="1"/>
  <c r="P161" i="3"/>
  <c r="R161"/>
  <c r="K160"/>
  <c r="K154"/>
  <c r="K153"/>
  <c r="K155"/>
  <c r="K148"/>
  <c r="Q149"/>
  <c r="J160"/>
  <c r="Q159"/>
  <c r="J159"/>
  <c r="L159" s="1"/>
  <c r="U159" s="1"/>
  <c r="Q158"/>
  <c r="J158"/>
  <c r="L158" s="1"/>
  <c r="U158" s="1"/>
  <c r="Q157"/>
  <c r="J157"/>
  <c r="L157" s="1"/>
  <c r="U157" s="1"/>
  <c r="V157" s="1"/>
  <c r="Q156"/>
  <c r="J156"/>
  <c r="L156" s="1"/>
  <c r="U156" s="1"/>
  <c r="Q155"/>
  <c r="J155"/>
  <c r="L155" s="1"/>
  <c r="U155" s="1"/>
  <c r="Q154"/>
  <c r="J154"/>
  <c r="Q153"/>
  <c r="J153"/>
  <c r="Q152"/>
  <c r="J152"/>
  <c r="Q151"/>
  <c r="J151"/>
  <c r="L151" s="1"/>
  <c r="U151" s="1"/>
  <c r="Q150"/>
  <c r="J150"/>
  <c r="L150" s="1"/>
  <c r="U150" s="1"/>
  <c r="J149"/>
  <c r="L149" s="1"/>
  <c r="U149" s="1"/>
  <c r="Q148"/>
  <c r="J148"/>
  <c r="Q147"/>
  <c r="J147"/>
  <c r="L147" s="1"/>
  <c r="U147" s="1"/>
  <c r="Q146"/>
  <c r="J146"/>
  <c r="L146" s="1"/>
  <c r="U140"/>
  <c r="U139"/>
  <c r="M123"/>
  <c r="K9" i="5" s="1"/>
  <c r="N123" i="3"/>
  <c r="L9" i="5" s="1"/>
  <c r="P123" i="3"/>
  <c r="R123"/>
  <c r="Q106"/>
  <c r="J106"/>
  <c r="L106" s="1"/>
  <c r="U106" s="1"/>
  <c r="K122"/>
  <c r="K105"/>
  <c r="K116"/>
  <c r="J118"/>
  <c r="L118" s="1"/>
  <c r="U118" s="1"/>
  <c r="J117"/>
  <c r="L117" s="1"/>
  <c r="U117" s="1"/>
  <c r="J116"/>
  <c r="K115"/>
  <c r="J115"/>
  <c r="J114"/>
  <c r="L114" s="1"/>
  <c r="U114" s="1"/>
  <c r="J113"/>
  <c r="L113" s="1"/>
  <c r="U113" s="1"/>
  <c r="J112"/>
  <c r="L112" s="1"/>
  <c r="U112" s="1"/>
  <c r="J111"/>
  <c r="L111" s="1"/>
  <c r="U111" s="1"/>
  <c r="K110"/>
  <c r="J110"/>
  <c r="J109"/>
  <c r="L109" s="1"/>
  <c r="U109" s="1"/>
  <c r="Q108"/>
  <c r="Q107"/>
  <c r="J107"/>
  <c r="L107" s="1"/>
  <c r="U107" s="1"/>
  <c r="J104"/>
  <c r="L104" s="1"/>
  <c r="F9" i="5"/>
  <c r="E9"/>
  <c r="D9"/>
  <c r="C9"/>
  <c r="F8"/>
  <c r="E8"/>
  <c r="D8"/>
  <c r="C8"/>
  <c r="E7"/>
  <c r="D7"/>
  <c r="C7"/>
  <c r="B40"/>
  <c r="M37"/>
  <c r="M36"/>
  <c r="M39" s="1"/>
  <c r="B36"/>
  <c r="M34"/>
  <c r="M33"/>
  <c r="M35" s="1"/>
  <c r="J35"/>
  <c r="E35"/>
  <c r="B33"/>
  <c r="M31"/>
  <c r="L31"/>
  <c r="K31"/>
  <c r="J31"/>
  <c r="M30"/>
  <c r="M29"/>
  <c r="G29"/>
  <c r="M28"/>
  <c r="M32" s="1"/>
  <c r="B28"/>
  <c r="G22"/>
  <c r="M21"/>
  <c r="M20"/>
  <c r="G20"/>
  <c r="M19"/>
  <c r="M27" s="1"/>
  <c r="B19"/>
  <c r="M16"/>
  <c r="M15"/>
  <c r="M18" s="1"/>
  <c r="B15"/>
  <c r="M9"/>
  <c r="M8"/>
  <c r="M7"/>
  <c r="J122" i="3"/>
  <c r="Q121"/>
  <c r="J121"/>
  <c r="L121" s="1"/>
  <c r="U121" s="1"/>
  <c r="Q120"/>
  <c r="J120"/>
  <c r="L120" s="1"/>
  <c r="U120" s="1"/>
  <c r="Q119"/>
  <c r="J119"/>
  <c r="L119" s="1"/>
  <c r="U119" s="1"/>
  <c r="Q118"/>
  <c r="Q117"/>
  <c r="Q116"/>
  <c r="Q115"/>
  <c r="Q114"/>
  <c r="Q113"/>
  <c r="Q112"/>
  <c r="Q111"/>
  <c r="Q110"/>
  <c r="Q109"/>
  <c r="J108"/>
  <c r="L108" s="1"/>
  <c r="U108" s="1"/>
  <c r="Q105"/>
  <c r="J105"/>
  <c r="Q104"/>
  <c r="U98"/>
  <c r="U97"/>
  <c r="M83"/>
  <c r="K8" i="5" s="1"/>
  <c r="N83" i="3"/>
  <c r="L8" i="5" s="1"/>
  <c r="P83" i="3"/>
  <c r="R83"/>
  <c r="K82"/>
  <c r="K64"/>
  <c r="K76"/>
  <c r="Q75"/>
  <c r="K75"/>
  <c r="J75"/>
  <c r="J74"/>
  <c r="J73"/>
  <c r="L73" s="1"/>
  <c r="U73" s="1"/>
  <c r="J72"/>
  <c r="K70"/>
  <c r="Q66"/>
  <c r="J65"/>
  <c r="J66"/>
  <c r="J67"/>
  <c r="J68"/>
  <c r="J69"/>
  <c r="J70"/>
  <c r="J71"/>
  <c r="J76"/>
  <c r="J77"/>
  <c r="L77" s="1"/>
  <c r="U77" s="1"/>
  <c r="J78"/>
  <c r="L78" s="1"/>
  <c r="U78" s="1"/>
  <c r="J79"/>
  <c r="L79" s="1"/>
  <c r="U79" s="1"/>
  <c r="J80"/>
  <c r="L80" s="1"/>
  <c r="U80" s="1"/>
  <c r="J81"/>
  <c r="L81" s="1"/>
  <c r="U81" s="1"/>
  <c r="J82"/>
  <c r="J64"/>
  <c r="K7" i="5"/>
  <c r="L7"/>
  <c r="K35" i="3"/>
  <c r="J29"/>
  <c r="L29" s="1"/>
  <c r="U29" s="1"/>
  <c r="V29" s="1"/>
  <c r="J30"/>
  <c r="L30" s="1"/>
  <c r="U30" s="1"/>
  <c r="V30" s="1"/>
  <c r="Q34"/>
  <c r="Q35"/>
  <c r="J34"/>
  <c r="L34" s="1"/>
  <c r="U34" s="1"/>
  <c r="J35"/>
  <c r="K26"/>
  <c r="K24"/>
  <c r="Q22"/>
  <c r="V250" l="1"/>
  <c r="L115"/>
  <c r="U115" s="1"/>
  <c r="L220"/>
  <c r="U220" s="1"/>
  <c r="V220" s="1"/>
  <c r="L247"/>
  <c r="U247" s="1"/>
  <c r="V247" s="1"/>
  <c r="L184"/>
  <c r="U184" s="1"/>
  <c r="V184" s="1"/>
  <c r="Q257"/>
  <c r="V248"/>
  <c r="Q41" i="6"/>
  <c r="L256" i="3"/>
  <c r="U256" s="1"/>
  <c r="V256" s="1"/>
  <c r="V219"/>
  <c r="M14" i="5"/>
  <c r="M48" s="1"/>
  <c r="U66" i="6"/>
  <c r="U82" s="1"/>
  <c r="N16" i="5" s="1"/>
  <c r="L82" i="6"/>
  <c r="I16" i="5" s="1"/>
  <c r="Q82" i="6"/>
  <c r="J16" i="5" s="1"/>
  <c r="L31" i="6"/>
  <c r="U31" s="1"/>
  <c r="V31" s="1"/>
  <c r="V22"/>
  <c r="T60"/>
  <c r="H16" i="5"/>
  <c r="V36" i="6"/>
  <c r="G30" i="5"/>
  <c r="F35"/>
  <c r="G34"/>
  <c r="G12"/>
  <c r="G21"/>
  <c r="F32"/>
  <c r="K32"/>
  <c r="N32"/>
  <c r="L32" i="6"/>
  <c r="U32" s="1"/>
  <c r="V32" s="1"/>
  <c r="V70"/>
  <c r="V29"/>
  <c r="V30"/>
  <c r="L40"/>
  <c r="U40" s="1"/>
  <c r="V40" s="1"/>
  <c r="K41"/>
  <c r="V24"/>
  <c r="V27"/>
  <c r="V33"/>
  <c r="V25"/>
  <c r="V34"/>
  <c r="V23"/>
  <c r="V28"/>
  <c r="V35"/>
  <c r="J15" i="5"/>
  <c r="U21" i="6"/>
  <c r="V67"/>
  <c r="V71"/>
  <c r="L26"/>
  <c r="U26" s="1"/>
  <c r="V26" s="1"/>
  <c r="V68"/>
  <c r="U20"/>
  <c r="V69"/>
  <c r="V72"/>
  <c r="F14" i="5"/>
  <c r="V193" i="3"/>
  <c r="V218"/>
  <c r="L14" i="5"/>
  <c r="V221" i="3"/>
  <c r="E14" i="5"/>
  <c r="V109" i="3"/>
  <c r="Q224"/>
  <c r="J12" i="5" s="1"/>
  <c r="K14"/>
  <c r="V194" i="3"/>
  <c r="G13" i="5"/>
  <c r="H13"/>
  <c r="V246" i="3"/>
  <c r="V191"/>
  <c r="V185"/>
  <c r="V187"/>
  <c r="G11" i="5"/>
  <c r="L223" i="3"/>
  <c r="U223" s="1"/>
  <c r="V223" s="1"/>
  <c r="V186"/>
  <c r="G10" i="5"/>
  <c r="V192" i="3"/>
  <c r="V183"/>
  <c r="Q196"/>
  <c r="J11" i="5" s="1"/>
  <c r="U217" i="3"/>
  <c r="K224"/>
  <c r="V147"/>
  <c r="V150"/>
  <c r="V158"/>
  <c r="L189"/>
  <c r="U189" s="1"/>
  <c r="V189" s="1"/>
  <c r="V121"/>
  <c r="V118"/>
  <c r="V107"/>
  <c r="L110"/>
  <c r="U110" s="1"/>
  <c r="V110" s="1"/>
  <c r="V151"/>
  <c r="V155"/>
  <c r="V159"/>
  <c r="L190"/>
  <c r="U190" s="1"/>
  <c r="V190" s="1"/>
  <c r="K196"/>
  <c r="T177" s="1"/>
  <c r="Q161"/>
  <c r="J10" i="5" s="1"/>
  <c r="V156" i="3"/>
  <c r="V149"/>
  <c r="V113"/>
  <c r="V112"/>
  <c r="V114"/>
  <c r="V111"/>
  <c r="L153"/>
  <c r="U153" s="1"/>
  <c r="V153" s="1"/>
  <c r="V117"/>
  <c r="Q123"/>
  <c r="J9" i="5" s="1"/>
  <c r="V119" i="3"/>
  <c r="L188"/>
  <c r="U188" s="1"/>
  <c r="V188" s="1"/>
  <c r="U182"/>
  <c r="K161"/>
  <c r="T141" s="1"/>
  <c r="L160"/>
  <c r="U160" s="1"/>
  <c r="V160" s="1"/>
  <c r="V120"/>
  <c r="V108"/>
  <c r="V115"/>
  <c r="V106"/>
  <c r="L148"/>
  <c r="U148" s="1"/>
  <c r="L116"/>
  <c r="U116" s="1"/>
  <c r="V116" s="1"/>
  <c r="L154"/>
  <c r="U154" s="1"/>
  <c r="V154" s="1"/>
  <c r="L152"/>
  <c r="U152" s="1"/>
  <c r="V152" s="1"/>
  <c r="U146"/>
  <c r="G16" i="5"/>
  <c r="H32"/>
  <c r="L32"/>
  <c r="H39"/>
  <c r="L39"/>
  <c r="O39"/>
  <c r="G19"/>
  <c r="E39"/>
  <c r="I39"/>
  <c r="I32"/>
  <c r="H35"/>
  <c r="L35"/>
  <c r="O35"/>
  <c r="F39"/>
  <c r="J39"/>
  <c r="G28"/>
  <c r="J32"/>
  <c r="I35"/>
  <c r="K35"/>
  <c r="N35"/>
  <c r="G36"/>
  <c r="K39"/>
  <c r="N39"/>
  <c r="G37"/>
  <c r="G9"/>
  <c r="L105" i="3"/>
  <c r="U105" s="1"/>
  <c r="K123"/>
  <c r="T99" s="1"/>
  <c r="G8" i="5"/>
  <c r="G15"/>
  <c r="E32"/>
  <c r="G7"/>
  <c r="G33"/>
  <c r="L122" i="3"/>
  <c r="U122" s="1"/>
  <c r="V122" s="1"/>
  <c r="U104"/>
  <c r="V104" s="1"/>
  <c r="L75"/>
  <c r="U75" s="1"/>
  <c r="V75" s="1"/>
  <c r="V34"/>
  <c r="L82"/>
  <c r="U82" s="1"/>
  <c r="V82" s="1"/>
  <c r="L76"/>
  <c r="U76" s="1"/>
  <c r="L35"/>
  <c r="U35" s="1"/>
  <c r="V35" s="1"/>
  <c r="H12" i="5" l="1"/>
  <c r="T212" i="3"/>
  <c r="V257"/>
  <c r="O13" i="5" s="1"/>
  <c r="P13" s="1"/>
  <c r="U257" i="3"/>
  <c r="N13" i="5" s="1"/>
  <c r="V21" i="6"/>
  <c r="V41" s="1"/>
  <c r="U41"/>
  <c r="L257" i="3"/>
  <c r="I13" i="5" s="1"/>
  <c r="G35"/>
  <c r="G27"/>
  <c r="G32"/>
  <c r="J18"/>
  <c r="G18"/>
  <c r="V66" i="6"/>
  <c r="V82" s="1"/>
  <c r="O16" i="5" s="1"/>
  <c r="Q16" s="1"/>
  <c r="G39"/>
  <c r="T15" i="6"/>
  <c r="H15" i="5"/>
  <c r="H18" s="1"/>
  <c r="L41" i="6"/>
  <c r="I15" i="5" s="1"/>
  <c r="I18" s="1"/>
  <c r="N15"/>
  <c r="N18" s="1"/>
  <c r="V20" i="6"/>
  <c r="U196" i="3"/>
  <c r="N11" i="5" s="1"/>
  <c r="L196" i="3"/>
  <c r="I11" i="5" s="1"/>
  <c r="G14"/>
  <c r="L224" i="3"/>
  <c r="I12" i="5" s="1"/>
  <c r="U224" i="3"/>
  <c r="N12" i="5" s="1"/>
  <c r="H11"/>
  <c r="V217" i="3"/>
  <c r="V224" s="1"/>
  <c r="O12" i="5" s="1"/>
  <c r="U161" i="3"/>
  <c r="N10" i="5" s="1"/>
  <c r="H10"/>
  <c r="V148" i="3"/>
  <c r="L161"/>
  <c r="I10" i="5" s="1"/>
  <c r="V182" i="3"/>
  <c r="V196" s="1"/>
  <c r="O11" i="5" s="1"/>
  <c r="Q11" s="1"/>
  <c r="U123" i="3"/>
  <c r="N9" i="5" s="1"/>
  <c r="L123" i="3"/>
  <c r="I9" i="5" s="1"/>
  <c r="V105" i="3"/>
  <c r="V123" s="1"/>
  <c r="O9" i="5" s="1"/>
  <c r="Q9" s="1"/>
  <c r="V146" i="3"/>
  <c r="F48" i="5"/>
  <c r="E48"/>
  <c r="H9"/>
  <c r="P12" l="1"/>
  <c r="Q12" s="1"/>
  <c r="O15"/>
  <c r="G48"/>
  <c r="V161" i="3"/>
  <c r="O10" i="5" s="1"/>
  <c r="P10" s="1"/>
  <c r="O18" l="1"/>
  <c r="Q15"/>
  <c r="Q18" s="1"/>
  <c r="K83" i="3"/>
  <c r="T59" s="1"/>
  <c r="Q81"/>
  <c r="V81" s="1"/>
  <c r="Q80"/>
  <c r="V80" s="1"/>
  <c r="Q79"/>
  <c r="V79" s="1"/>
  <c r="Q78"/>
  <c r="V78" s="1"/>
  <c r="Q77"/>
  <c r="V77" s="1"/>
  <c r="Q76"/>
  <c r="V76" s="1"/>
  <c r="Q74"/>
  <c r="L74"/>
  <c r="U74" s="1"/>
  <c r="Q73"/>
  <c r="V73" s="1"/>
  <c r="Q72"/>
  <c r="L72"/>
  <c r="U72" s="1"/>
  <c r="Q71"/>
  <c r="L71"/>
  <c r="U71" s="1"/>
  <c r="Q70"/>
  <c r="L70"/>
  <c r="U70" s="1"/>
  <c r="Q69"/>
  <c r="L69"/>
  <c r="U69" s="1"/>
  <c r="Q68"/>
  <c r="L68"/>
  <c r="U68" s="1"/>
  <c r="Q67"/>
  <c r="L67"/>
  <c r="U67" s="1"/>
  <c r="L66"/>
  <c r="U66" s="1"/>
  <c r="V66" s="1"/>
  <c r="Q65"/>
  <c r="L65"/>
  <c r="U65" s="1"/>
  <c r="Q64"/>
  <c r="L64"/>
  <c r="U58"/>
  <c r="U57"/>
  <c r="Q33"/>
  <c r="J33"/>
  <c r="L33" s="1"/>
  <c r="U33" s="1"/>
  <c r="Q32"/>
  <c r="J32"/>
  <c r="L32" s="1"/>
  <c r="U32" s="1"/>
  <c r="Q31"/>
  <c r="J31"/>
  <c r="L31" s="1"/>
  <c r="U31" s="1"/>
  <c r="K36"/>
  <c r="T15" s="1"/>
  <c r="Q28"/>
  <c r="J28"/>
  <c r="L28" s="1"/>
  <c r="U28" s="1"/>
  <c r="Q27"/>
  <c r="J27"/>
  <c r="L27" s="1"/>
  <c r="U27" s="1"/>
  <c r="Q26"/>
  <c r="J26"/>
  <c r="L26" s="1"/>
  <c r="U26" s="1"/>
  <c r="Q25"/>
  <c r="J25"/>
  <c r="L25" s="1"/>
  <c r="U25" s="1"/>
  <c r="Q24"/>
  <c r="J24"/>
  <c r="L24" s="1"/>
  <c r="U24" s="1"/>
  <c r="Q23"/>
  <c r="J23"/>
  <c r="L23" s="1"/>
  <c r="U23" s="1"/>
  <c r="J22"/>
  <c r="L22" s="1"/>
  <c r="U22" s="1"/>
  <c r="V22" s="1"/>
  <c r="Q21"/>
  <c r="J21"/>
  <c r="L21" s="1"/>
  <c r="U21" s="1"/>
  <c r="Q20"/>
  <c r="J20"/>
  <c r="L20" s="1"/>
  <c r="U14"/>
  <c r="U13"/>
  <c r="Q36" l="1"/>
  <c r="J7" i="5" s="1"/>
  <c r="L36" i="3"/>
  <c r="I7" i="5" s="1"/>
  <c r="V65" i="3"/>
  <c r="V74"/>
  <c r="H7" i="5"/>
  <c r="Q83" i="3"/>
  <c r="J8" i="5" s="1"/>
  <c r="H8"/>
  <c r="L83" i="3"/>
  <c r="I8" i="5" s="1"/>
  <c r="V68" i="3"/>
  <c r="V70"/>
  <c r="V72"/>
  <c r="V67"/>
  <c r="V69"/>
  <c r="V71"/>
  <c r="V23"/>
  <c r="V25"/>
  <c r="V27"/>
  <c r="V24"/>
  <c r="V26"/>
  <c r="V28"/>
  <c r="V21"/>
  <c r="V31"/>
  <c r="V33"/>
  <c r="V32"/>
  <c r="U20"/>
  <c r="U64"/>
  <c r="U83" s="1"/>
  <c r="N8" i="5" s="1"/>
  <c r="U36" i="3" l="1"/>
  <c r="N7" i="5" s="1"/>
  <c r="N14" s="1"/>
  <c r="H14"/>
  <c r="I14"/>
  <c r="J14"/>
  <c r="V20" i="3"/>
  <c r="V64"/>
  <c r="V83" s="1"/>
  <c r="O8" i="5" s="1"/>
  <c r="P8" s="1"/>
  <c r="P14" s="1"/>
  <c r="P48" s="1"/>
  <c r="V36" i="3" l="1"/>
  <c r="O7" i="5" s="1"/>
  <c r="O14" l="1"/>
  <c r="Q7"/>
  <c r="Q14" s="1"/>
  <c r="K44" i="2"/>
  <c r="M45"/>
  <c r="K40" i="5" s="1"/>
  <c r="L40"/>
  <c r="J43" i="2"/>
  <c r="L43" s="1"/>
  <c r="U43" s="1"/>
  <c r="J41"/>
  <c r="K34"/>
  <c r="L47" i="5" l="1"/>
  <c r="L48" s="1"/>
  <c r="K47"/>
  <c r="K48" s="1"/>
  <c r="K29" i="2"/>
  <c r="K45" s="1"/>
  <c r="H40" i="5" s="1"/>
  <c r="H47" l="1"/>
  <c r="H48" s="1"/>
  <c r="T15" i="2"/>
  <c r="Q44"/>
  <c r="J44"/>
  <c r="L44" s="1"/>
  <c r="U44" s="1"/>
  <c r="J42"/>
  <c r="L42" s="1"/>
  <c r="U42" s="1"/>
  <c r="L41"/>
  <c r="U41" s="1"/>
  <c r="V41" s="1"/>
  <c r="Q39"/>
  <c r="J39"/>
  <c r="L39" s="1"/>
  <c r="U39" s="1"/>
  <c r="Q38"/>
  <c r="J38"/>
  <c r="L38" s="1"/>
  <c r="U38" s="1"/>
  <c r="Q37"/>
  <c r="J37"/>
  <c r="L37" s="1"/>
  <c r="U37" s="1"/>
  <c r="Q36"/>
  <c r="J36"/>
  <c r="L36" s="1"/>
  <c r="U36" s="1"/>
  <c r="Q35"/>
  <c r="J35"/>
  <c r="L35" s="1"/>
  <c r="U35" s="1"/>
  <c r="Q34"/>
  <c r="J34"/>
  <c r="L34" s="1"/>
  <c r="U34" s="1"/>
  <c r="Q33"/>
  <c r="J33"/>
  <c r="L33" s="1"/>
  <c r="U33" s="1"/>
  <c r="Q32"/>
  <c r="J32"/>
  <c r="L32" s="1"/>
  <c r="U32" s="1"/>
  <c r="Q31"/>
  <c r="J31"/>
  <c r="L31" s="1"/>
  <c r="U31" s="1"/>
  <c r="Q30"/>
  <c r="Q45" s="1"/>
  <c r="J30"/>
  <c r="L30" s="1"/>
  <c r="U30" s="1"/>
  <c r="J29"/>
  <c r="L29" s="1"/>
  <c r="U29" s="1"/>
  <c r="V29" s="1"/>
  <c r="J28"/>
  <c r="L28" s="1"/>
  <c r="Q25"/>
  <c r="J25"/>
  <c r="L25" s="1"/>
  <c r="U25" s="1"/>
  <c r="Q24"/>
  <c r="J24"/>
  <c r="L24" s="1"/>
  <c r="U24" s="1"/>
  <c r="Q23"/>
  <c r="J23"/>
  <c r="L23" s="1"/>
  <c r="U23" s="1"/>
  <c r="Q22"/>
  <c r="J22"/>
  <c r="L22" s="1"/>
  <c r="U22" s="1"/>
  <c r="Q21"/>
  <c r="J21"/>
  <c r="L21" s="1"/>
  <c r="U14"/>
  <c r="U13"/>
  <c r="V36" l="1"/>
  <c r="V38"/>
  <c r="V24"/>
  <c r="V33"/>
  <c r="V37"/>
  <c r="J40" i="5"/>
  <c r="U28" i="2"/>
  <c r="U45" s="1"/>
  <c r="L45"/>
  <c r="I40" i="5" s="1"/>
  <c r="V39" i="2"/>
  <c r="V25"/>
  <c r="V35"/>
  <c r="V34"/>
  <c r="V32"/>
  <c r="V31"/>
  <c r="V30"/>
  <c r="U21"/>
  <c r="V23"/>
  <c r="V22"/>
  <c r="J47" i="5" l="1"/>
  <c r="J48" s="1"/>
  <c r="I47"/>
  <c r="I48" s="1"/>
  <c r="N40"/>
  <c r="V28" i="2"/>
  <c r="V45" s="1"/>
  <c r="V21"/>
  <c r="N47" i="5" l="1"/>
  <c r="N48" s="1"/>
  <c r="O40"/>
  <c r="Q40" s="1"/>
  <c r="Q47" s="1"/>
  <c r="Q48" s="1"/>
  <c r="O47" l="1"/>
  <c r="O48" s="1"/>
</calcChain>
</file>

<file path=xl/sharedStrings.xml><?xml version="1.0" encoding="utf-8"?>
<sst xmlns="http://schemas.openxmlformats.org/spreadsheetml/2006/main" count="4064" uniqueCount="544">
  <si>
    <t>Утверждаю</t>
  </si>
  <si>
    <t>Согласовано</t>
  </si>
  <si>
    <t>Директор КГКП "Рудненский политехнический колледж"</t>
  </si>
  <si>
    <t>Заместитель руководителя</t>
  </si>
  <si>
    <t>ГУ "Управление образования акимата Костанайской области"</t>
  </si>
  <si>
    <t>_____________________________</t>
  </si>
  <si>
    <t>Ишмухамбетов А.А.</t>
  </si>
  <si>
    <t>г. Рудный, ул. Ленина, 34</t>
  </si>
  <si>
    <t>Итого</t>
  </si>
  <si>
    <t>№ п/п</t>
  </si>
  <si>
    <t>Оконченное учебное заведение</t>
  </si>
  <si>
    <t>Ставка</t>
  </si>
  <si>
    <t>Заработная плата в месяц по НСОТ (G)</t>
  </si>
  <si>
    <t>Всего зарплата в месяц</t>
  </si>
  <si>
    <t>Бюджет</t>
  </si>
  <si>
    <t>зав.каб</t>
  </si>
  <si>
    <t>проверка тетрадей</t>
  </si>
  <si>
    <t>%</t>
  </si>
  <si>
    <t>кол-во часов</t>
  </si>
  <si>
    <t>сумма</t>
  </si>
  <si>
    <t>преподаватель обществознания</t>
  </si>
  <si>
    <t>Высшее</t>
  </si>
  <si>
    <t xml:space="preserve">1)Костанайский государственный университет им.А.Байтурсынова  2)Рудненский индустриальный институт </t>
  </si>
  <si>
    <t>ЖБ 0008293 от29.06.1999
ЖБ-Б 0052127 от 24.02.2014</t>
  </si>
  <si>
    <t>19л00м</t>
  </si>
  <si>
    <t>В-1-4</t>
  </si>
  <si>
    <t xml:space="preserve">Рудненский индустриальный институт </t>
  </si>
  <si>
    <t>ЖБ-II 0110116 от 22.06.96г.</t>
  </si>
  <si>
    <t>преподаватель начальной военной подготовки</t>
  </si>
  <si>
    <t xml:space="preserve">1). Костанайский государственный университет им. А.Байтурсынова </t>
  </si>
  <si>
    <t>№ЖБ-Б 0315130 от 05.06.12г.</t>
  </si>
  <si>
    <t>Костанайский социально-технический университет</t>
  </si>
  <si>
    <t>03г00м</t>
  </si>
  <si>
    <t>преподаватель  информатики</t>
  </si>
  <si>
    <t xml:space="preserve"> Рудненский индустриальный институт
</t>
  </si>
  <si>
    <t>ЖБ 0010983 от 27.06.09г.</t>
  </si>
  <si>
    <t>преподаватель спец.дисциплин ( Анализ, выбор силовых и осветительных электроустановок)</t>
  </si>
  <si>
    <t>№ 113043, 06.06.1988г</t>
  </si>
  <si>
    <t>Рудненский индустриальный институт</t>
  </si>
  <si>
    <t>ЖБ 0148779,23.02.2010г</t>
  </si>
  <si>
    <t>УВ 662964 от 23.06.1990г.</t>
  </si>
  <si>
    <t>28л00м</t>
  </si>
  <si>
    <t>В1-4</t>
  </si>
  <si>
    <t xml:space="preserve">Рудненский индустриальный институт 
</t>
  </si>
  <si>
    <t xml:space="preserve">ОАБ 0194700
от 18.06..2002
БЖБ 0018914 от 28.02.2008
</t>
  </si>
  <si>
    <t>преподаватель  начальной военной подготовки</t>
  </si>
  <si>
    <t xml:space="preserve">Свердловское высшее военно- политическое танко- артиллерийское училище 
</t>
  </si>
  <si>
    <t>ИВ 080892 от 06.07.1982г</t>
  </si>
  <si>
    <t>ЖБ 0010955 26.06.08.</t>
  </si>
  <si>
    <t>Вакансия</t>
  </si>
  <si>
    <t>с 7до 10л</t>
  </si>
  <si>
    <t>высшее</t>
  </si>
  <si>
    <t>Костанайский государственный университет</t>
  </si>
  <si>
    <t>ЖБ № 0015490, 12.06.2000г</t>
  </si>
  <si>
    <t xml:space="preserve">ЖБ-Б 0020418
15.06.2011.
</t>
  </si>
  <si>
    <t>преподаватель  Применения профессиональной лексики в сфере профессиональной деятельности,Делопроизводство на государственном языке</t>
  </si>
  <si>
    <t>1) Костанайский государственный университет им. А. Байтурсынова                                                                                 2) Костанайский социально-технический университет</t>
  </si>
  <si>
    <t>№ 0119267, 22.06.2000г</t>
  </si>
  <si>
    <t xml:space="preserve"> Кустанайский педагогический институт
</t>
  </si>
  <si>
    <t>ЕВ 088857  от 30.06.80.</t>
  </si>
  <si>
    <t>преподаватель русского  языка и литературы</t>
  </si>
  <si>
    <t xml:space="preserve">Кызылординский гуманитарный университет </t>
  </si>
  <si>
    <t xml:space="preserve">ЖБ 1) 0533268 от 25.05.05.
ЖБ 2)0099416   от 17.06.00.
</t>
  </si>
  <si>
    <t xml:space="preserve">Костанайский государственный университет им.А.Байтурсынова </t>
  </si>
  <si>
    <t>ЖБ 0597406 от 23.05.05г</t>
  </si>
  <si>
    <t>Рудненский (государственный) индустриальный институт</t>
  </si>
  <si>
    <t xml:space="preserve">ЖБ 0626550       </t>
  </si>
  <si>
    <t>14л00м</t>
  </si>
  <si>
    <t>Кустанайский педагогический институт им. 50-летия СССР</t>
  </si>
  <si>
    <t>№ 072587, 28.06.1986г</t>
  </si>
  <si>
    <t>Костанайский инженерно-экономический университет им. Дулатова</t>
  </si>
  <si>
    <t>№ 0445660, 28.01.2005г</t>
  </si>
  <si>
    <t>№ 0004113, 19.06.08 г</t>
  </si>
  <si>
    <t xml:space="preserve">ЖБ-Б № 1091630
21.06.2016
</t>
  </si>
  <si>
    <t>преподаватель  Применения профессиональной лексики в сфере профессиональной деятельности (английский язык)</t>
  </si>
  <si>
    <t>Костанайский гуманитарный институт</t>
  </si>
  <si>
    <t>ОАБ 0755188 17.06.06.</t>
  </si>
  <si>
    <t>преподаватель английского языка</t>
  </si>
  <si>
    <t>Костанайский государственный педагогический институт им.А.Байтурсынова</t>
  </si>
  <si>
    <t xml:space="preserve">ЖБ 0723170
07.07.2006
</t>
  </si>
  <si>
    <t xml:space="preserve">Рудненский (государственный) индустриальный институт </t>
  </si>
  <si>
    <t>ЖБ 0083782 от 19.06.2006</t>
  </si>
  <si>
    <t>№ 068094, 19.06.1986г</t>
  </si>
  <si>
    <t>№ 693357, 29.06.1992г</t>
  </si>
  <si>
    <t>преподаватель спец.дисциплин (Электромонтаж)</t>
  </si>
  <si>
    <t>Рудненский индустриальный (государственный) институт</t>
  </si>
  <si>
    <t>ЖБ 0380889 от 19.06.2003г.</t>
  </si>
  <si>
    <t>1) Кустанайский педагогический институт им. 50-летия СССР, 2)  Костанайский институт бизнеса и управления</t>
  </si>
  <si>
    <t>№ 072796, 22.06.1987г</t>
  </si>
  <si>
    <t>31г00м</t>
  </si>
  <si>
    <t>Аркалыкский педагогический институт</t>
  </si>
  <si>
    <t>№ 0042865, 18.06.1994г</t>
  </si>
  <si>
    <t xml:space="preserve">Костанайская социальная академия
</t>
  </si>
  <si>
    <t>ЖБ 0238009 от 24.06.2002г.</t>
  </si>
  <si>
    <t>Костанайская  социальная академия</t>
  </si>
  <si>
    <t xml:space="preserve">ЖБ 0430338
04.04.2004.
</t>
  </si>
  <si>
    <t>преподаватель спец.дисциплин (Экономика транспорта и управление производством)</t>
  </si>
  <si>
    <t>1) Рудненский индустриальный институт , 2) Костанайский инженерно-экономический университет</t>
  </si>
  <si>
    <t>№ 0338912, 21.03.2003г</t>
  </si>
  <si>
    <t>20л00м</t>
  </si>
  <si>
    <t>преподаватель физической культуры</t>
  </si>
  <si>
    <t>Костанайский государственный университет им. А.Байтурсынова</t>
  </si>
  <si>
    <t>№ 0597859, 27.06.2005г</t>
  </si>
  <si>
    <t>преподаватель спец.дисциплин (Применение знаний об устройстве, принципе работы и назначении обслуживаемого электрического оборудования)</t>
  </si>
  <si>
    <t>ЖБ 0381121  от 15.06.04.</t>
  </si>
  <si>
    <t>13л00м</t>
  </si>
  <si>
    <t xml:space="preserve"> преподаватель  спец.дисциплин (Применение  базовых знаний экономики в профессиональной деятельности)</t>
  </si>
  <si>
    <t xml:space="preserve">1)Челябинский государственный  педагогический университет-  2) Костанайский инженерно-экономический университет им. Дулатова </t>
  </si>
  <si>
    <t>ДВС 0482318 от 08.02.02г.</t>
  </si>
  <si>
    <t xml:space="preserve">УВ № 693506
21.06.1993
</t>
  </si>
  <si>
    <t>преподаватель физики</t>
  </si>
  <si>
    <t>Костанайская социальная академия</t>
  </si>
  <si>
    <t>ЖБ 0237988 от 24.06.02г</t>
  </si>
  <si>
    <t>3) Рудненский индустриальный институт</t>
  </si>
  <si>
    <t>ЖБ 0223631 от 22.06.01г.</t>
  </si>
  <si>
    <t>Омский государственный институт физической культуры</t>
  </si>
  <si>
    <t>№ 538100, 04.07.1988г</t>
  </si>
  <si>
    <t>преподаватель  математики</t>
  </si>
  <si>
    <t>ЖБ №0237939</t>
  </si>
  <si>
    <t>№0005677,11.12.98</t>
  </si>
  <si>
    <t>преподаватель спец.дисциплин (Автоматизация бухгалтерского учета по программе 1С: Бухгалтерия)</t>
  </si>
  <si>
    <t>Костанайский инженерно-экономический университет</t>
  </si>
  <si>
    <t>ЖБ 0032205 от 21.03.03г</t>
  </si>
  <si>
    <t>15л00м</t>
  </si>
  <si>
    <t>УВ 664285 от 18.06.91г.</t>
  </si>
  <si>
    <t>преподаватель спец.дисциплин (Основы права)</t>
  </si>
  <si>
    <t xml:space="preserve">1)Кустанайский педагогический институт им.50 летия СССР   
2)Костанайский социально-технический университет  им. Академика Зулхарнай Алдамжар 
</t>
  </si>
  <si>
    <t>ЖБ-II 0024431 от 18.06.1994г.  ЖБ-Б 0638643 от 05.07.2013г.</t>
  </si>
  <si>
    <t>Казахский университет путей сообщения</t>
  </si>
  <si>
    <t>ЖБ 0021418 03.06.08 г.</t>
  </si>
  <si>
    <t>ЖБ 0066754 от 27.06.05г</t>
  </si>
  <si>
    <t>преподаватель физической культуры,Развития и совершенствования физических качеств</t>
  </si>
  <si>
    <t>Кустанайский пед. институт им. 50-летия СССР</t>
  </si>
  <si>
    <t>НВ 099832</t>
  </si>
  <si>
    <t>07л08м</t>
  </si>
  <si>
    <t xml:space="preserve">ЖБ  0730253
18.06.2006
</t>
  </si>
  <si>
    <t xml:space="preserve">Костанайский государственный университет им.А.Байтурсынова
Костанайский государственный педагогический институт 
</t>
  </si>
  <si>
    <t>ЖБ 0017027 от 29.06.1998г. ҒПЖ 0005960 от 17.06.2009г.</t>
  </si>
  <si>
    <t>с7 до 10</t>
  </si>
  <si>
    <t>_____________________ Альжанова М.Х.</t>
  </si>
  <si>
    <t>23г02м</t>
  </si>
  <si>
    <t>08л02м</t>
  </si>
  <si>
    <t>18л08м</t>
  </si>
  <si>
    <t>05л09м</t>
  </si>
  <si>
    <t>29л00м</t>
  </si>
  <si>
    <t>09л00м</t>
  </si>
  <si>
    <t>02г08м</t>
  </si>
  <si>
    <t>15л11м</t>
  </si>
  <si>
    <t>24г02м</t>
  </si>
  <si>
    <t>07л07м</t>
  </si>
  <si>
    <t>26л07м</t>
  </si>
  <si>
    <t>37л10м</t>
  </si>
  <si>
    <t>16л10м</t>
  </si>
  <si>
    <t>13л09м</t>
  </si>
  <si>
    <t>10л10м</t>
  </si>
  <si>
    <t>10л04м</t>
  </si>
  <si>
    <t>14л05м</t>
  </si>
  <si>
    <t>18л04м</t>
  </si>
  <si>
    <t>03г01м</t>
  </si>
  <si>
    <t>32г08м</t>
  </si>
  <si>
    <t>13л10м</t>
  </si>
  <si>
    <t>32г00м</t>
  </si>
  <si>
    <t>24г11м</t>
  </si>
  <si>
    <t>31г01м</t>
  </si>
  <si>
    <t>27л05м</t>
  </si>
  <si>
    <t>21г00м</t>
  </si>
  <si>
    <t>24г07м</t>
  </si>
  <si>
    <t>06л11м</t>
  </si>
  <si>
    <t>20л05м</t>
  </si>
  <si>
    <t>23г00м</t>
  </si>
  <si>
    <t>25л00м</t>
  </si>
  <si>
    <t>23г09м</t>
  </si>
  <si>
    <t>16л00м</t>
  </si>
  <si>
    <t>21г11м</t>
  </si>
  <si>
    <t>13л03м</t>
  </si>
  <si>
    <t>08л08м</t>
  </si>
  <si>
    <t>18л09м</t>
  </si>
  <si>
    <t>16л02м</t>
  </si>
  <si>
    <t>37л00м</t>
  </si>
  <si>
    <t>05л03м</t>
  </si>
  <si>
    <t>17л03м</t>
  </si>
  <si>
    <t>01г04м</t>
  </si>
  <si>
    <t>03г04м</t>
  </si>
  <si>
    <t xml:space="preserve">             Тарификационный список  преподавателей №</t>
  </si>
  <si>
    <t>KГКП Рудненский политехнический колледж</t>
  </si>
  <si>
    <t>Показатели:</t>
  </si>
  <si>
    <t>Специальность:</t>
  </si>
  <si>
    <t>АиУ</t>
  </si>
  <si>
    <t>Курс</t>
  </si>
  <si>
    <t>Количество учащихся,всего-</t>
  </si>
  <si>
    <t>чел</t>
  </si>
  <si>
    <t>бюджет</t>
  </si>
  <si>
    <t>договор</t>
  </si>
  <si>
    <t>Число часов-</t>
  </si>
  <si>
    <t>1302000 Автоматизация и управление (по профилю)</t>
  </si>
  <si>
    <t>№</t>
  </si>
  <si>
    <t>Ф.И.О.</t>
  </si>
  <si>
    <t>Занимаемая должность(с указанием предмета)</t>
  </si>
  <si>
    <t>Образование(высшее)</t>
  </si>
  <si>
    <t>Номер док-та и дата выдачи</t>
  </si>
  <si>
    <t>Пед.стаж</t>
  </si>
  <si>
    <t xml:space="preserve">Звено, ступень по блокам </t>
  </si>
  <si>
    <t xml:space="preserve">Оклад согласно ППРК № 1193 от 31.12.2015 г. </t>
  </si>
  <si>
    <t>Число часов в м-ц</t>
  </si>
  <si>
    <t>доплата</t>
  </si>
  <si>
    <t xml:space="preserve">Надбавка 10% </t>
  </si>
  <si>
    <t xml:space="preserve">Всего заработная плата в месяц </t>
  </si>
  <si>
    <t>кл.рук</t>
  </si>
  <si>
    <t>преподаватель казахского языка и литературы</t>
  </si>
  <si>
    <t>преподаватель  английского  языка</t>
  </si>
  <si>
    <t>преподаватель информатики</t>
  </si>
  <si>
    <t>Костанайский государственный университет им.А.Байтурсынова</t>
  </si>
  <si>
    <t>преподаватель истории Казахстана</t>
  </si>
  <si>
    <t xml:space="preserve">    Главный бухгалтер</t>
  </si>
  <si>
    <t>Д-18-АиУ -1</t>
  </si>
  <si>
    <t>за работу с детьми с ограни возможн 40 %</t>
  </si>
  <si>
    <t>за работу при учреж уголовно-имп. системы 30 %</t>
  </si>
  <si>
    <t>повышение за работу в сельс мест 25%</t>
  </si>
  <si>
    <t>преподаватель всемирной истории</t>
  </si>
  <si>
    <t>на 01 сентября  2019 года</t>
  </si>
  <si>
    <t xml:space="preserve">Костанайский государственный университет им.А.Байтурсынова
</t>
  </si>
  <si>
    <t xml:space="preserve">ЖБ-Б № 0004489
23.06.2010
ЖООК-М № 0019933
25.06.2013
</t>
  </si>
  <si>
    <t>Костанайский инженерно- экономический унисерситет им. М.Дулатова</t>
  </si>
  <si>
    <t xml:space="preserve">ЖБ № 0248066
12.06.2009
</t>
  </si>
  <si>
    <t>преподаватель всемирной истории,обществознания</t>
  </si>
  <si>
    <t>Аркалыкский государственный педагогический институт им.И.Алтынсарина</t>
  </si>
  <si>
    <t xml:space="preserve">ЖБ № 0005220
29.06.2008
</t>
  </si>
  <si>
    <t>09л11м</t>
  </si>
  <si>
    <t xml:space="preserve">Костанайский государственный
Педагогический институт
</t>
  </si>
  <si>
    <t>ЖБ –Б № 0145379</t>
  </si>
  <si>
    <t xml:space="preserve">Рудненский индустриальный институт
</t>
  </si>
  <si>
    <t xml:space="preserve">РВ № 112934 
28.06.1988
</t>
  </si>
  <si>
    <t xml:space="preserve">Рудненский (государственный) индустриальный институт
</t>
  </si>
  <si>
    <t xml:space="preserve">ЖБ № 0072114
15.06.2000
</t>
  </si>
  <si>
    <t xml:space="preserve">ЖООК – М № 0128812
03 июля 2017
</t>
  </si>
  <si>
    <t>Федеральное государственное бюджетное образовательное учреждение высшего образования «Челябинский государственный университет»</t>
  </si>
  <si>
    <t xml:space="preserve">БТ № 0020240
31.12.2016
</t>
  </si>
  <si>
    <t>Костанайский государственный педагогический институт</t>
  </si>
  <si>
    <t>ЖБ-Б №0698320 21.05.2014г</t>
  </si>
  <si>
    <t xml:space="preserve">преподаватель химии,биологии              </t>
  </si>
  <si>
    <t>преподаватель географии</t>
  </si>
  <si>
    <t xml:space="preserve">Д-19-АиУ </t>
  </si>
  <si>
    <t xml:space="preserve">ЖБ № 0237275
24.07.2009
</t>
  </si>
  <si>
    <t>преподаватель (Экзамены-5,4ч,Консультации-10,0ч.)</t>
  </si>
  <si>
    <t>ТОиРГЭО</t>
  </si>
  <si>
    <t>Д-18-ТО и РГЭО-1</t>
  </si>
  <si>
    <t>0707000 Техническое обслуживание и ремонт горного электромеханического оборудования</t>
  </si>
  <si>
    <t>Оклад согласно ППРК № 1193 от 31.12.2015 г.</t>
  </si>
  <si>
    <t>преподаватель  казахского языка  и литературы</t>
  </si>
  <si>
    <t>Д-18-ТО и РГЭО-2</t>
  </si>
  <si>
    <t>10,ч Сибгаттуллина</t>
  </si>
  <si>
    <t>преподаватель факультатива (Социальная деятельность)</t>
  </si>
  <si>
    <t>Д-19-11-ТО и РГЭО</t>
  </si>
  <si>
    <t>преподаватель Применения профессиональной лексики в сфере профессиональной деятельности (казахский язык)</t>
  </si>
  <si>
    <t>преподаватель  Составления деловых бумаг на государственном языке</t>
  </si>
  <si>
    <t>преподаватель  Развития и совершенствования физических качеств</t>
  </si>
  <si>
    <t>преподаватель спец.дисциплин (Применение знаний об устройстве, принципе работы и назначении обслуживаемого электрического оборудования</t>
  </si>
  <si>
    <t xml:space="preserve">ЖБ-Б № 0845197
19.02.2016
ЖБ-Б № 0539202
17.06.2013
</t>
  </si>
  <si>
    <t>преподаватель Понимания истории, роли и места Казахстана в мировом сообществе,Охраны окружающей среды и рациональное использование недров. Основы трудового законодательства и техники безопасности</t>
  </si>
  <si>
    <t>преподаватель спец.дисциплин(  Чтение кинематических и электрических схем горных машин)</t>
  </si>
  <si>
    <t>преподаватель спец.дисциплин ( Подбор металла для конструкций различного назначения и применение электротехнических материалов,Технология горного производства, Технология добычи твердых полезных ископаемых)</t>
  </si>
  <si>
    <t>преподаватель спец.дисциплин (Применение основ технической механики при эксплуатации горного электромеханического оборудования.)</t>
  </si>
  <si>
    <t>преподаватель спец.дисциплин(Монтаж, демонтаж узлов и механизмов горного оборудования)</t>
  </si>
  <si>
    <t>преподаватель спец.дисциплин(Техническое обслуживание и ремонт горных машин, узлов и механизмов)</t>
  </si>
  <si>
    <t>преподаватель (Экзамены-7,2ч,квал.экзамен-3,6ч,Консультации-10,0ч.,Практика-33,2ч)</t>
  </si>
  <si>
    <t>Бюджетная программа: (024-015)</t>
  </si>
  <si>
    <t>Д-19-ТО и РГЭО-1</t>
  </si>
  <si>
    <t>преподаватель географии,факультатива религиоведения</t>
  </si>
  <si>
    <t>преподаватель (Экзамены-2,4 ч,Консультации-10,0ч.)</t>
  </si>
  <si>
    <t>Д-19-ТО и РГЭО-2</t>
  </si>
  <si>
    <t xml:space="preserve">Сводный тарификационный список </t>
  </si>
  <si>
    <t>по КГКП Рудненский политехнический колледж</t>
  </si>
  <si>
    <t>Дневная форма обучения</t>
  </si>
  <si>
    <t>Наименование спциальности</t>
  </si>
  <si>
    <t>Группа</t>
  </si>
  <si>
    <t>Кол-во учащихся</t>
  </si>
  <si>
    <t>Число часов  в   месяц</t>
  </si>
  <si>
    <t>Заработная плата в месяц</t>
  </si>
  <si>
    <t xml:space="preserve">          Доплата</t>
  </si>
  <si>
    <t>за особые условия труда 10%</t>
  </si>
  <si>
    <t>по договору</t>
  </si>
  <si>
    <t>за проверку письменных                                       работ, 20, 25% от БДО</t>
  </si>
  <si>
    <t>за классное руководство, 25% от БДО</t>
  </si>
  <si>
    <t>за заведование кабинетами, 25% от БДО</t>
  </si>
  <si>
    <t>ОРМПИ</t>
  </si>
  <si>
    <t>Всего</t>
  </si>
  <si>
    <t>Директор</t>
  </si>
  <si>
    <t>А.Ишмухамбетов</t>
  </si>
  <si>
    <t>Главный бухгалтер</t>
  </si>
  <si>
    <t>Н.Акбергенова</t>
  </si>
  <si>
    <t>на 1 сентября 2019 года</t>
  </si>
  <si>
    <t>преподаватель  казахского языка  и литературы,факультатива Проба пера</t>
  </si>
  <si>
    <t>преподаватель (Экзамены-7,2 ч,Консультации-10,0ч.)</t>
  </si>
  <si>
    <t>преподаватель Применения профессиональной лексики в сфере профессиональной деятельности (казахскияй язык)</t>
  </si>
  <si>
    <t>преподаватель Применения профессиональной лексики в сфере профессиональной деятельности (английский язык)</t>
  </si>
  <si>
    <t>преподаватель Применения профессиональной лексики в сфере профессиональной деятельности (казахскияй язык),Составления деловых бумаг на государственном языке</t>
  </si>
  <si>
    <t>преподаватель Развития и совершенствования физических качеств</t>
  </si>
  <si>
    <t>преподаватель спец.дисциплин (Техническое обслуживание и ремонт горных машин, узлов и механизмов.Монтаж, демонтаж узлов и механизмов горного оборудования)</t>
  </si>
  <si>
    <t>преподаватель Охраны окружающей среды и рациональное использование недров. Основы трудового законодательства и техники безопасности</t>
  </si>
  <si>
    <t>преподаватель спец.дисциплин (Применение знаний об устройстве, принципе работы и назначении обслуживаемого электрического оборудования.Чтение кинематических и электрических схем горных машин)</t>
  </si>
  <si>
    <t>преподаватель спец.дисциплин ( Применение основ технической механики при эксплуатации горного электромеханического оборудования)</t>
  </si>
  <si>
    <t>преподаватель спец.дисциплин (Подбор металла для конструкций различного назначения и применение электротехнических материалов,Технология горного производства.Технология добычи твердых полезных ископаемых. Выполнение основных видов работ по ремонту и обслуживанию горных машин и механизмов)</t>
  </si>
  <si>
    <t>преподаватель (Экзамены-3,6 ч,квал.экзамен-1,8ч,.Консультации-10,0ч.,Практика-32,8ч)</t>
  </si>
  <si>
    <t>преподаватель (Экзамены-7,2ч,квал.экзамен-3,6ч,.Консультации-10,0ч.,Практика-32,8ч)</t>
  </si>
  <si>
    <t>Д-17-ТО и РГЭО</t>
  </si>
  <si>
    <t>преподаватель спец.дисциплин (Технология горного производства.)</t>
  </si>
  <si>
    <t>преподаватель спец.дисциплин ( Предмет узкой специализации.Выполнение основных видов работ по ремонту и обслуживанию горных машин и механизмов)</t>
  </si>
  <si>
    <t>преподаватель (Экзамены-1,8ч,квал.экзамен-1,8ч,. Часы на КП-2,6ч.,Консультации-10,0ч.,Практика-37,8ч)</t>
  </si>
  <si>
    <t>Д-16-ТО и РГЭО</t>
  </si>
  <si>
    <t>преподаватель спец.дисциплин (Горная механика.)</t>
  </si>
  <si>
    <t>преподаватель спец.дисциплин (Электрооборудование и электроснабжение горных предприятий.Рудничная автоматика и телемеханика)</t>
  </si>
  <si>
    <t>преподаватель спец.дисциплин (Экономика отрасли)</t>
  </si>
  <si>
    <t>преподаватель  спец.дисциплин(Техника безопасности, охрана окружающей среды и рациональное природопользование)</t>
  </si>
  <si>
    <t>преподаватель спец.дисциплин (Монтаж, техобслуживание и ремонт горного электромеханического оборудования и средств автоматики)</t>
  </si>
  <si>
    <t>преподаватель Практикаи по профилю специальности</t>
  </si>
  <si>
    <t>преподаватель Практики квалификационной</t>
  </si>
  <si>
    <t>преподаватель (Экзамены-2,0 ч,Часы на КП-2,0 ч.,Консультации-10,0ч., часы на ИА-7,2ч,Практика-5,2ч)</t>
  </si>
  <si>
    <t>УиА</t>
  </si>
  <si>
    <t>Д-17-УиА</t>
  </si>
  <si>
    <t>0508000 Учет и аудит</t>
  </si>
  <si>
    <t>Надбавка 10%</t>
  </si>
  <si>
    <t>преподаватель  математики для экономистов</t>
  </si>
  <si>
    <t>Д-19-УиА</t>
  </si>
  <si>
    <t>преподаватель(Экзамены-7,2ч.,Консультации-10,0ч.)</t>
  </si>
  <si>
    <t>Д-18-УиА</t>
  </si>
  <si>
    <t xml:space="preserve"> преподаватель  спец.дисциплин (Основы экономики)</t>
  </si>
  <si>
    <t xml:space="preserve"> преподаватель  спец.дисциплин (Основы экономики.Основы экономической теории.Рынок ценных бумаг.Банковское дело и страхование)</t>
  </si>
  <si>
    <t>преподаватель Экономической информатики и информационных технологий</t>
  </si>
  <si>
    <t>преподаватель  Делопроизводства на государственном языке</t>
  </si>
  <si>
    <t>преподаватель спец.дисциплин (Аудит)</t>
  </si>
  <si>
    <t>Экзамены-1,8ч,Консультации-10,0ч.</t>
  </si>
  <si>
    <t xml:space="preserve">преподаватель профессионального казахского языка </t>
  </si>
  <si>
    <t>преподаватель профессионального английского языка</t>
  </si>
  <si>
    <t>преподаватель культурологии</t>
  </si>
  <si>
    <t>преподаватель основ философии</t>
  </si>
  <si>
    <t>преподаватель основ политологии и социологии</t>
  </si>
  <si>
    <t>преподаватель спец.дисциплин (Основы менеджмента и маркетинга.Статистика.Экономический анализ и анализ финансовой отчетности)</t>
  </si>
  <si>
    <t>преподаватель спец.дисциплин (Экономика организации.Аудит)</t>
  </si>
  <si>
    <t>преподаватель спец.дисциплин (Основы коммерческой деятельности)</t>
  </si>
  <si>
    <t>Экзамены-3,6ч,Консультации-10,0ч.часы на ИА-7,2ч,практика- 18,8ч</t>
  </si>
  <si>
    <t>ТЭОиРЭиЭО</t>
  </si>
  <si>
    <t>0911000 Техническая эксплуатация, обслуживание и ремонт электрического и электромеханического  оборудования по видам</t>
  </si>
  <si>
    <t>преподаватель  (Экзамены-7,2ч,Консультации-10,0ч.)</t>
  </si>
  <si>
    <t>Звено, ступень по блокам</t>
  </si>
  <si>
    <t>преподаватель спец.дисциплин (Применение основ социальных наук для социализации и адаптации в обществе и трудовом коллективе)</t>
  </si>
  <si>
    <t>преподаватель спец.дисциплин ( Применение основ социальных наук для социализации и адаптации в обществе и трудовом коллективе)</t>
  </si>
  <si>
    <t>преподаватель спец.дисциплин (Техническое обслуживание и устройство сетей электроснабжения)</t>
  </si>
  <si>
    <t>преподаватель факультатива (Основы предпринимательской деятельности)</t>
  </si>
  <si>
    <t>В1-5</t>
  </si>
  <si>
    <t>преподаватель спец.дисциплин (Электрооборудование предприятий и гражданских зданий)</t>
  </si>
  <si>
    <t>Д-19- ТЭОиРЭиЭО-1</t>
  </si>
  <si>
    <t>преподаватель факультатива самопознание</t>
  </si>
  <si>
    <t>преподаватель факультатива  (Краеведение)</t>
  </si>
  <si>
    <t>преподаватель факультатива  (Социальная деятельность)</t>
  </si>
  <si>
    <t>преподаватель факультатива  (Основы предпринимательской деятельности)</t>
  </si>
  <si>
    <t>преподаватель факультатива  (Самопознание)</t>
  </si>
  <si>
    <t>преподаватель спец.дисциплин (Основы бухгалтерского учета. Финансовый учет.Налоги и налогообложение)</t>
  </si>
  <si>
    <t>преподаватель факультатива (Самопознание)</t>
  </si>
  <si>
    <t>преподаватель географии,факультатива (Религиоведение)</t>
  </si>
  <si>
    <t>преподаватель  спец.дисциплин (Выполнение основных видов работ по ремонту и обслуживанию горных машин и механизмов)</t>
  </si>
  <si>
    <t>преподаватель факультатива  (Религиоведение)</t>
  </si>
  <si>
    <t>преподаватель факультатива   (Религиоведение)</t>
  </si>
  <si>
    <t>преподаватель факультатива (Проба пера)</t>
  </si>
  <si>
    <t>преподаватель  (Экзамены-2,4ч,Консультации-10,0ч.)</t>
  </si>
  <si>
    <t>Д-19- ТЭОиРЭиЭО-2</t>
  </si>
  <si>
    <t>преподаватель  факультатива (Самопознание)</t>
  </si>
  <si>
    <t>преподаватель географии,факультатива (Религиоведение. Социальная деятельность)</t>
  </si>
  <si>
    <t>преподаватель (Экзамены-7,2 ч,Консультации-10,0ч)</t>
  </si>
  <si>
    <t>Д-18- ТЭОиРЭиЭО-1</t>
  </si>
  <si>
    <t>преподаватель  Применения профессиональной лексики в сфере профессиональной деятельности (казахский язык)</t>
  </si>
  <si>
    <t>преподаватель  Применения профессиональной лексики в сфере профессиональной деятельности (казахский язык).Составление деловых бумаг на государственном языке</t>
  </si>
  <si>
    <t>преподаватель Выполнение, оформление, чтение конструкторской и технологической документации с использованием прикладных программ</t>
  </si>
  <si>
    <t>преподаватель спец.дисциплин( Проведение слесарных и слесарно-сборочных работ. Ремонт силового и осветительного оборудования (измерения)</t>
  </si>
  <si>
    <t>преподаватель спец.дисциплин (Анализ, моделирование и сборка электрических цепей на базе основных законов электротехники.Выбор количественных и качественных характеристик режимов работы электрических маши и трансформаторов для производственных условий.Применение теории электрических цепей и магнитных полей в электрооборудовании.Применение законов об устройстве, принципе работы силового электрооборудования)</t>
  </si>
  <si>
    <t>преподаватель спец.дисциплин ( Монтаж силовых и осветительных электроустановок)</t>
  </si>
  <si>
    <t>преподаватель спец.дисциплин ( Монтаж силовых и осветительных электроустановок-практика)</t>
  </si>
  <si>
    <t>преподаватель спец.дисциплин(  Ремонт силового и осветительного оборудования (измерения).Выполнение основных видов работ по квалификации электрослесарь (слесарь) дежурный и по ремонту оборудования)</t>
  </si>
  <si>
    <t>Д-18- ТЭОиРЭиЭО-2</t>
  </si>
  <si>
    <t>преподаватель (Экзамены-7,2 ч,часы на квал.экзамен-3,6 ч.Консультации-10,0ч.Практика-33,8 ч)</t>
  </si>
  <si>
    <t xml:space="preserve"> </t>
  </si>
  <si>
    <t>07л03м</t>
  </si>
  <si>
    <t>Д-18- 11-ТЭОиРЭиЭО</t>
  </si>
  <si>
    <t>преподаватель спец.дисциплин ( Техническое обслуживание цехового электрического и электромеханического оборудования)</t>
  </si>
  <si>
    <t>преподаватель спец.дисциплин ( Устранение и предупреждение аварий и неполадок электрооборудования.Техническое обслуживание и устройство сетей электроснабжения)</t>
  </si>
  <si>
    <t>преподаватель спец.дисциплин (Анализ и чтение схем автоматического электропривода)</t>
  </si>
  <si>
    <t>преподаватель спец.дисциплин( Проверка и наладка электрооборудования.Применение знаний техники безопасности и охраны труда в профессиональной деятельности)</t>
  </si>
  <si>
    <t>преподаватель спец.дисциплин ( Техническое обслуживание цехового электрического и электромеханического оборудования.Проверка и наладка электрооборудования. Устранение и предупреждение аварий и неполадок электрооборудования.Организация технического обслуживания, эксплуатация электрооборудования.Выполнение основных видов работ по квалификации электрослесарь (слесарь) дежурный и по ремонту оборудования)</t>
  </si>
  <si>
    <t>Д-17-ТЭОиРЭиЭО</t>
  </si>
  <si>
    <t>ЖБ-II 0024431  18.06.1994г.  ЖБ-Б 0638643  05.07.2013г.</t>
  </si>
  <si>
    <t>преподаватель спец.дисциплин(Ремонт силового и осветительного оборудования (измерения))</t>
  </si>
  <si>
    <t>преподаватель спец.дисциплин (Применение схем электронных устройств в сфере профессиональной деятельности.Техническое обслуживание и устройство сетей электроснабжения)</t>
  </si>
  <si>
    <t>преподаватель спец.дисциплин (Проектирование ЭС)</t>
  </si>
  <si>
    <t>преподаватель спец.дисциплин (Ремонт силового и осветительного оборудования (измерения).Выполнение основных видов работ по квалификации электрослесарь (слесарь) дежурный и по ремонту оборудования)</t>
  </si>
  <si>
    <t>Д-17-11-ТЭОиРЭиЭО</t>
  </si>
  <si>
    <t>преподаватель спец.дисциплин (Организация и выполнение работ по эксплуатации и ремонту электрического и электромеханического оборудования)</t>
  </si>
  <si>
    <t>преподаватель спец.дисциплин (Проверка и наладка электрооборудования.Проектирование ЭОПП)</t>
  </si>
  <si>
    <t>преподаватель спец.дисциплин( Устранение и предупреждение аварий и неполадок электрооборудования)</t>
  </si>
  <si>
    <t>преподаватель спец.дисциплин  (Организация деятельности производственного подразделения)</t>
  </si>
  <si>
    <t>преподаватель спец.дисциплин (Выполнение основных видов работ по квалификации)</t>
  </si>
  <si>
    <t>преподаватель (Преддипломная практика)</t>
  </si>
  <si>
    <t>преподаватель (Экзамены-1,6 ч,часы на квал.экзамен-1,6 ч. Часы на прикм КП-4,2 ч.Консультации-10,0ч.ДП-21,6ч. Часы на ИА-7,2.Практика-56,6ч)</t>
  </si>
  <si>
    <t>Д-16-ТЭОиРЭиЭО</t>
  </si>
  <si>
    <t>преподаватель  физмческой культуры</t>
  </si>
  <si>
    <t>преподаватель спец.дисциплин(Эксплуатация и ремонт электрооборудования)</t>
  </si>
  <si>
    <t>преподаватель спец.дисциплин (Наладка электрооборудования.Проектирование ЭО)</t>
  </si>
  <si>
    <t>преподаватель спец.дисциплин  (Экономика отрасли)</t>
  </si>
  <si>
    <t>преподаватель спец.дисциплин (Технологическая практика)</t>
  </si>
  <si>
    <t>преподаватель спец.дисциплин (Преддипломная практика)</t>
  </si>
  <si>
    <t>преподаватель (Экзамены-1,8 ч,часы на квал.экзамен-1,8 ч. Часы на прием КП-2,7 ч.Консультации-10,0ч.Практика-35 ч)</t>
  </si>
  <si>
    <t>преподаватель (Экзамены-1,4 ч,часы на квал.экзамен-1,4 ч. Часы на прием КП-1,8ч.Консультации-10,0ч.Практика-35 ч)</t>
  </si>
  <si>
    <t>преподаватель (Экзамены-1,8 ч,Часы на прием КП-4,6 ч.Консультации-10,0ч.ДП-21,6ч. Часы на ИА-7,2.Практика-55,6ч)</t>
  </si>
  <si>
    <t>ЖБ-II 0024431  18.06.1994г.  ЖБ-Б 0638643   05.07.2013г.</t>
  </si>
  <si>
    <t>Д-19- ТМ</t>
  </si>
  <si>
    <t>ТМ</t>
  </si>
  <si>
    <t>1014000 Технология машиностроения (по видам)</t>
  </si>
  <si>
    <t>преподаватель русского языка и литературы</t>
  </si>
  <si>
    <t>преподаватель (Экзамены-3,0ч,часы на квал.экзамен-1,8ч.Консультации-10,0ч.Практика-23,4 ч)</t>
  </si>
  <si>
    <t>Д-17- ТМ</t>
  </si>
  <si>
    <t>преподаватель (Роботехника.Прикладная  математика)</t>
  </si>
  <si>
    <t>преподаватель спец.дисциплин (Металлорежущие оборудования.Технологическое оборудование отрасли.Технология машиностроения.Практика на приобретение рабочей профессии)</t>
  </si>
  <si>
    <t>преподаватель спец.дисциплин (Основы взаимзаменямости.Грузоподъемные и транспортные устройства.Основы обработки материалов и инструмент.Технологическая практика)</t>
  </si>
  <si>
    <t>преподаватель спец.дисциплин (Материаловедение.Охрана труда.Основы окомкования и обжига.факультатив-Применение графических редакторов в проектировании)</t>
  </si>
  <si>
    <t>преподаватель  (Экзамены-1,8ч,квл.экзамен-1,8ч.Консультации-10,0ч.Практика-37,6)</t>
  </si>
  <si>
    <t>Д-16- ТМ</t>
  </si>
  <si>
    <t>преподаватель спец.дисциплин (Экономика и управление машиностроительным предприятием)</t>
  </si>
  <si>
    <t>преподаватель спец.дисциплин (Техническое обслуживание и ремонт оборудования. Преддипломная практика)</t>
  </si>
  <si>
    <t>преподаватель  факультатива (Основы предпринимательской деятельности)</t>
  </si>
  <si>
    <t>преподаватель  (Экзамены-0,6ч, часы  на прием КП-4,0ч.,ДП-21,6ч.,Консультации-10,0ч.часы на ИА-7,2ч.Практика-12,2ч)</t>
  </si>
  <si>
    <t>Д-18- ЭРиТОПСЖД</t>
  </si>
  <si>
    <t xml:space="preserve"> 1108000 Эксплуатация, ремонт и техническое обслуживание подвижного состава железных дорог</t>
  </si>
  <si>
    <t>преподаватель Выполнения чертежей и конструкторской документации с использованием информационных технологий на основе стандартов и нормативно-технической документации в профессиональной деятельности</t>
  </si>
  <si>
    <t>преподаватель спец.дисциплин (Соблюдение правил и норм охраны труда, техники безопасности, промышленной санитарии и противопожарной защиты.Понимание значимости своей будущей профессии)</t>
  </si>
  <si>
    <t>преподаватель спец.дисциплин (Эксплуатация электронных и микроэлектронных приборов локомотива)</t>
  </si>
  <si>
    <t>преподаватель спец.дисциплин (Ремонт механического оборудования.Ремонт автотормозного оборудования.Контроль, сборка, регулировка, испытания собранных узлов и деталей.Техническое обслуживание тягового подвижного состава.Организация ремонта тягового подвижного состава железных дорог в соответствии с требованиями технологических процессов.</t>
  </si>
  <si>
    <t>преподаватель спец.дисциплин (Применение основных законов электротехники, теории электрических цепей и магнитных полей в различных силовых цепях и электрооборудовании подвижного состава.Ремонт электрического оборудования)</t>
  </si>
  <si>
    <t>преподаватель спец.дисциплин (Ремонт электрического оборудования)</t>
  </si>
  <si>
    <t>преподаватель спец.дисциплин (Выполнение основных видов работ по квалификации слесаря по ремонту локомотива (тепловоза или электровоза)</t>
  </si>
  <si>
    <t>преподаватель  (Экзамены-3,6ч,квал.экзамены-1,8ч.,Консультации-10,0ч.,Практика-23,4ч.)</t>
  </si>
  <si>
    <t>Д-17- ЭРиТОПСЖД</t>
  </si>
  <si>
    <t>преподавтель Применения профессиональной лексики в сфере профессиональной деятельности( казахский язык)</t>
  </si>
  <si>
    <t>преподавтель Применения профессиональной лексики в сфере профессиональной деятельности( английский язык)</t>
  </si>
  <si>
    <t>преподавтель  Составления деловых бумаг на государственном языке</t>
  </si>
  <si>
    <t>преподаватель спец.дисциплин (Соблюдение правил и норм охраны труда, техники безопасности, промышленной санитарии  и противопожарной защиты)</t>
  </si>
  <si>
    <t>преподаватель спец.дисциплин ( Ремонт механического оборудования.Ремонт автотормозного оборудования.Приемка и сдача локомотива. Выполнение регламентных работ по техническому обслуживанию и ремонту локомотива в пути следования и на стоянках.Выполнение основных видов работ по квалификации слесаря по ремонту локомтива (теловоза или электровоза))</t>
  </si>
  <si>
    <t>преподаватель  (Экзамены-3,0ч,квал.экзамены-1,8ч.,Консультации-10,0ч.,Практика-23,6ч.)</t>
  </si>
  <si>
    <t>преподаватель Охраны окружающей среды и рациональное использование недров. Основ трудового законодательства и техники безопасности</t>
  </si>
  <si>
    <t>преподаватель Составления деловых бумаг на государственном языке.Факультатива( Дебаты)</t>
  </si>
  <si>
    <t>Д-17-ОП</t>
  </si>
  <si>
    <t>1203000 Организация перевозок и управление движением на железнодорожном транспорте</t>
  </si>
  <si>
    <t>преподаватель спец.дисциплин ( Организация работы станции)</t>
  </si>
  <si>
    <t>преподаватель спец.дисциплин (Анализ экономических показателей работы транспорта)</t>
  </si>
  <si>
    <t>преподаватель спец.дисциплин (Роспуск вагонов по сортировочной горке)</t>
  </si>
  <si>
    <t>преподаватель  (Экзамены-1,8 ч,квал.экзамены-1,8ч.,Консультации-10,0ч.,часы на прием КП-4,4ч. Практика-32,4ч.)</t>
  </si>
  <si>
    <t>Д-16-ОП</t>
  </si>
  <si>
    <t xml:space="preserve">      ОП</t>
  </si>
  <si>
    <t xml:space="preserve">       ОП</t>
  </si>
  <si>
    <t>ЭРиТОПСЖД</t>
  </si>
  <si>
    <t>преподаватель спец.дисциплин (Техническая эксплуатация и безопасность движения поездов)</t>
  </si>
  <si>
    <t>преподаватель спец.дисциплин (Организация  грузовой и коммерческой работой)</t>
  </si>
  <si>
    <t>преподаватель  (Экзамены-1,6 ч,квал.экзамены-3,2 ч.,Консультации-10,0ч.,ДП-21,6ч.часы на ИА-7,2ч. Практика-51,2ч.)</t>
  </si>
  <si>
    <t>преподаватель (Чтение и разработка типовых схем автоматизации.Монтаж контрольно-измерительных приборов и средств автоматизации)</t>
  </si>
  <si>
    <t>преподаватель спец.дисциплин (Выбор и использование электротехнических материалов, инструмента и оборудования. Монтаж контрольно-измерительных приборов и средств автоматизации.Моделирование и сборка электрических цепей на базе основных законов электротехники)</t>
  </si>
  <si>
    <t>преподаватель спец.дисциплин ( Использование гидро, пневмо и электропривода в системах автоматизации)</t>
  </si>
  <si>
    <t>преподаватель спец.дисциплин (Применение законов механического движения при выполнении работ по монтажу и эксплуатации средств автоматизации)</t>
  </si>
  <si>
    <t>преподаватель (Экзамены-1,8ч,Консультации-10,0ч.Практика-7,2ч.)</t>
  </si>
  <si>
    <t>Д-18-АиУ-2</t>
  </si>
  <si>
    <t>преподаватель (Чтение и разработка типовых схем автоматизации.Применение электронных приборов в средствах автоматизации)</t>
  </si>
  <si>
    <t>преподаватель спец.дисциплин  (Монтаж контрольно-измерительных приборов и средств автоматизации)</t>
  </si>
  <si>
    <t>преподаватель спец.дисциплин (Эксплуатация электроизмерительных приборов и средств автоматизации)</t>
  </si>
  <si>
    <t>преподаватель спец.дисциплин (Использование гидро, пневмо и электропривода в системах автоматизации)</t>
  </si>
  <si>
    <t>преподаватель спец.дисциплин ( Применение законов механического движения при выполнении работ по монтажу и эксплуатации средств автоматизации)</t>
  </si>
  <si>
    <t>Д-17-АиУ-1</t>
  </si>
  <si>
    <t>преподаватель спец.дисциплин (Эксплуатация и техническое обслуживание средств контроля и автоматики)</t>
  </si>
  <si>
    <t>преподаватель спец.дисциплин  (Ремонт средств автоматики)</t>
  </si>
  <si>
    <t>преподаватель спец.дисциплин (Проектирование автоматизированных систем)</t>
  </si>
  <si>
    <t>преподаватель (Соблюдение техники безопасности и требований охраны труда. Выполнение основных видов работ по квалификации электрослесарь (слесарь) дежурный и по ремонту оборудования)</t>
  </si>
  <si>
    <t>преподаватель (Экзамены-1,8ч.,часы на прием КП-2,6ч.Консультации-10,0ч.Практика-29,6ч.)</t>
  </si>
  <si>
    <t>Д-17-АиУ-2</t>
  </si>
  <si>
    <t>преподаватель (Соблюдение техники безопасности и требований охраны труда. )</t>
  </si>
  <si>
    <t>преподаватель спец.дисциплин (Выполнение основных видов работ по квалификации электрослесарь (слесарь) дежурный и по ремонту оборудования)</t>
  </si>
  <si>
    <t>преподаватель (Экзамены-1,8ч.,часы на прием КП-1,5ч.Консультации-10,0ч.Практика-29,6ч.)</t>
  </si>
  <si>
    <t>Д-16-АиУ-1</t>
  </si>
  <si>
    <t>преподаватель (Охрана труда и основы промышленной экологии)</t>
  </si>
  <si>
    <t>преподаватель спец.дисциплин (Экономика и управление производством)</t>
  </si>
  <si>
    <t>преподаватель спец.дисциплин  (Автоматизация технологических процессов и АСУ ТП отрасли)</t>
  </si>
  <si>
    <t>преподаватель спец.дисциплин (Эксплуатация автоматизированных установок)</t>
  </si>
  <si>
    <t>преподаватель спец.дисциплин (Предмет узкой специализации)</t>
  </si>
  <si>
    <t>преподаватель спец.дисциплин (Технологическая  практика.)</t>
  </si>
  <si>
    <t>преподаватель (Экзамены-1,8ч.,часы на прием КП-2,4ч.Консультации-10,0ч. ДП-21,6ч., часы на ИА-7,2ч.,Практика-59,4ч.)</t>
  </si>
  <si>
    <t>Д-16-АиУ-2</t>
  </si>
  <si>
    <t>преподаватель спец.дисциплин  (Автоматизация технологических процессов и АСУ ТП отрасли,Технологическая  практика)</t>
  </si>
  <si>
    <t>преподаватель спец.дисциплин (Эксплуатация автоматизированных установок.Преддипломная практика)</t>
  </si>
  <si>
    <t>преподаватель (Экзамены-1,8ч.,часы на прием КП-1,6 ч.Консультации-10,0ч. ДП-21,6ч., часы на ИА-7,2ч.,Практика-59,4ч.)</t>
  </si>
  <si>
    <t>Классный руководитель</t>
  </si>
  <si>
    <t>Классный  руководитель</t>
  </si>
  <si>
    <t xml:space="preserve">преподаватель спец.дисциплин (Анализ, моделирование и сборка электрических цепей на базе основных законов электротехники.Выбор количественных и качественных характеристик режимов работы электрических маши и трансформаторов для производственных условий.Применение теории электрических цепей и магнитных полей в электрооборудовании.Применение законов об устройстве, принципе работы силового электрооборудования)                                                                              </t>
  </si>
  <si>
    <t xml:space="preserve">преподаватель Развития и совершенствования физических качеств                                                  </t>
  </si>
  <si>
    <t>Класный руководитель</t>
  </si>
  <si>
    <t>СПРАВКА</t>
  </si>
  <si>
    <t xml:space="preserve">об оплате часов за проверку тетрадей </t>
  </si>
  <si>
    <t>преподавателей КГКП "Рудненский политехнический колледж"</t>
  </si>
  <si>
    <t>по специальностям дневного обучения</t>
  </si>
  <si>
    <t>Ф.И.О.                                     преподавателя</t>
  </si>
  <si>
    <t>Предмет</t>
  </si>
  <si>
    <t>2курс</t>
  </si>
  <si>
    <t>2 курс</t>
  </si>
  <si>
    <t>3 курс</t>
  </si>
  <si>
    <t>Итого:</t>
  </si>
  <si>
    <t xml:space="preserve">                                                 А.Ишмухамбетов</t>
  </si>
  <si>
    <t>на 2019-2020  учебный год</t>
  </si>
  <si>
    <t>1 курс</t>
  </si>
  <si>
    <t>Применения профессиональной лексики в сфере профессиональной деятельности (казахский язык),казахский язык и литература</t>
  </si>
  <si>
    <t xml:space="preserve">Применение профессиональной лексики в сфере профессиональной деятельности (английский язык),английский язык                                                      </t>
  </si>
  <si>
    <t>Физика</t>
  </si>
  <si>
    <t>Химия</t>
  </si>
  <si>
    <t>Математика</t>
  </si>
  <si>
    <t>Русский  язык и литература</t>
  </si>
  <si>
    <t>Директор                                                                     А.Ишмухамбетов</t>
  </si>
  <si>
    <t xml:space="preserve">Главный бухгалтер                                                      Н.Акбергенова </t>
  </si>
  <si>
    <r>
      <t xml:space="preserve">преподаватель  Применения профессиональной лексики в сфере профессиональной деятельности (английский язык)                                                         </t>
    </r>
    <r>
      <rPr>
        <b/>
        <sz val="12"/>
        <rFont val="Arial"/>
        <family val="2"/>
        <charset val="204"/>
      </rPr>
      <t>Классный руководитель</t>
    </r>
  </si>
  <si>
    <r>
      <t xml:space="preserve">преподаватель казахского языка и литературы,факультатива жулдыз                                                             </t>
    </r>
    <r>
      <rPr>
        <b/>
        <sz val="12"/>
        <rFont val="Arial"/>
        <family val="2"/>
        <charset val="204"/>
      </rPr>
      <t xml:space="preserve">  Классный руководитель</t>
    </r>
  </si>
  <si>
    <r>
      <t xml:space="preserve">преподаватель казахского языка и литературы                                                              </t>
    </r>
    <r>
      <rPr>
        <b/>
        <sz val="12"/>
        <rFont val="Arial"/>
        <family val="2"/>
        <charset val="204"/>
      </rPr>
      <t xml:space="preserve">      Классный руководитель</t>
    </r>
  </si>
  <si>
    <r>
      <t xml:space="preserve">преподаватель спец.дисциплин (Подбор металла для конструкций различного назначения и применение электротехнических материалов,Технология горного производства.Технология добычи твердых полезных ископаемых. Выполнение основных видов работ по ремонту и обслуживанию горных машин и механизмов)                                                                                                      </t>
    </r>
    <r>
      <rPr>
        <b/>
        <sz val="12"/>
        <rFont val="Arial"/>
        <family val="2"/>
        <charset val="204"/>
      </rPr>
      <t>Классный руководитель</t>
    </r>
  </si>
  <si>
    <r>
      <t xml:space="preserve">преподаватель спец.дисциплин (Финансы и кредит.Основы менеджмента и маркетинга.Статистика)                    </t>
    </r>
    <r>
      <rPr>
        <b/>
        <sz val="10"/>
        <rFont val="Arial"/>
        <family val="2"/>
        <charset val="204"/>
      </rPr>
      <t xml:space="preserve">   Классный руководитель</t>
    </r>
  </si>
  <si>
    <r>
      <t xml:space="preserve">преподаватель  Применения профессиональной лексики в сфере профессиональной деятельности (казахский язык)          </t>
    </r>
    <r>
      <rPr>
        <b/>
        <sz val="10"/>
        <rFont val="Arial"/>
        <family val="2"/>
        <charset val="204"/>
      </rPr>
      <t xml:space="preserve">                                                                  Классный руководитель</t>
    </r>
  </si>
  <si>
    <r>
      <t xml:space="preserve">преподаватель Развития и совершенствования физических качеств                                                 </t>
    </r>
    <r>
      <rPr>
        <b/>
        <sz val="10"/>
        <rFont val="Arial"/>
        <family val="2"/>
        <charset val="204"/>
      </rPr>
      <t xml:space="preserve">     Классный руководитель</t>
    </r>
  </si>
  <si>
    <r>
      <t xml:space="preserve">преподаватель спец.дисциплин ( Анализ, выбор силовых и осветительных электроустановок)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Классный руководитель</t>
    </r>
  </si>
  <si>
    <r>
      <t xml:space="preserve">преподаватель Развития и совершенствования физических качеств                                                   </t>
    </r>
    <r>
      <rPr>
        <b/>
        <sz val="10"/>
        <rFont val="Arial"/>
        <family val="2"/>
        <charset val="204"/>
      </rPr>
      <t xml:space="preserve">   Классный руководитель</t>
    </r>
  </si>
  <si>
    <r>
      <t xml:space="preserve">преподаватель химии,биологии                                                                                 </t>
    </r>
    <r>
      <rPr>
        <b/>
        <sz val="10"/>
        <rFont val="Arial"/>
        <family val="2"/>
        <charset val="204"/>
      </rPr>
      <t xml:space="preserve">  Классный руководитель</t>
    </r>
  </si>
  <si>
    <r>
      <t xml:space="preserve">преподаватель спец.дисциплин (Технологическое оборудование отрасли.Технология машиностроения.Нормирование и монтаж оборудования)                                                             </t>
    </r>
    <r>
      <rPr>
        <b/>
        <sz val="10"/>
        <rFont val="Arial"/>
        <family val="2"/>
        <charset val="204"/>
      </rPr>
      <t xml:space="preserve"> Классный руководитель</t>
    </r>
  </si>
  <si>
    <r>
      <t xml:space="preserve">преподаватель русского  языка и литературы                                           </t>
    </r>
    <r>
      <rPr>
        <b/>
        <sz val="10"/>
        <rFont val="Arial"/>
        <family val="2"/>
        <charset val="204"/>
      </rPr>
      <t xml:space="preserve"> Классный руководитель</t>
    </r>
  </si>
  <si>
    <r>
      <t xml:space="preserve">преподаватель спец.дисциплин (Соблюдение правил и норм охраны труда, техники безопасности, промышленной санитарии  и противопожарной защиты.Выполнение правил технической эксплуатации и обеспечение безопасности движения поездов.Выполнение основных видов работ сигналиста.Организация работы станции)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>Классный руководитель</t>
    </r>
  </si>
  <si>
    <r>
      <t xml:space="preserve">преподаватель спец.дисциплин ( Организация движения железнодорожного транспорта.Производственно- технологическая практика.Преддипломная практика)                   </t>
    </r>
    <r>
      <rPr>
        <b/>
        <sz val="10"/>
        <rFont val="Arial"/>
        <family val="2"/>
        <charset val="204"/>
      </rPr>
      <t xml:space="preserve">       Классный руководитель</t>
    </r>
  </si>
  <si>
    <r>
      <t xml:space="preserve">преподаватель (Чтение и разработка типовых схем автоматизации.Эксплуатация электроизмерительных приборов и средств автоматизации.Применение электронных приборов в средствах автоматизации)                                                                  </t>
    </r>
    <r>
      <rPr>
        <b/>
        <sz val="10"/>
        <rFont val="Arial"/>
        <family val="2"/>
        <charset val="204"/>
      </rPr>
      <t xml:space="preserve"> Классный руководитель</t>
    </r>
  </si>
  <si>
    <r>
      <t xml:space="preserve">преподаватель (Чтение и разработка типовых схем автоматизации.Монтаж контрольно-измерительных приборов и средств автоматизации)                                                               </t>
    </r>
    <r>
      <rPr>
        <b/>
        <sz val="10"/>
        <rFont val="Arial"/>
        <family val="2"/>
        <charset val="204"/>
      </rPr>
      <t xml:space="preserve"> Классный руководитель</t>
    </r>
  </si>
  <si>
    <r>
      <t xml:space="preserve">преподаватель спец.дисциплин (Эксплуатация и техническое обслуживание средств контроля и автоматики)                                                       </t>
    </r>
    <r>
      <rPr>
        <b/>
        <sz val="10"/>
        <rFont val="Arial"/>
        <family val="2"/>
        <charset val="204"/>
      </rPr>
      <t xml:space="preserve">  Классный руководитель</t>
    </r>
  </si>
  <si>
    <r>
      <t xml:space="preserve">преподаватель спец.дисциплин (Техническое обслуживание и ремонт горных машин, узлов и механизмов.Монтаж, демонтаж узлов и механизмов горного оборудования)                                </t>
    </r>
    <r>
      <rPr>
        <b/>
        <sz val="12"/>
        <rFont val="Arial"/>
        <family val="2"/>
        <charset val="204"/>
      </rPr>
      <t>Классный руководитель</t>
    </r>
  </si>
  <si>
    <t>преподаватель географии,факультатива              (Религиоведение)</t>
  </si>
  <si>
    <t>с7 до10л</t>
  </si>
  <si>
    <t>с7до10л</t>
  </si>
  <si>
    <t>преподаватель  факультатива                              (Слесарное дело)</t>
  </si>
  <si>
    <t>№0005677            11.12.98</t>
  </si>
  <si>
    <t>Сумма</t>
  </si>
  <si>
    <t>Спецсчет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</si>
</sst>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_(* #,##0.00_);_(* \(#,##0.00\);_(* &quot;-&quot;??_);_(@_)"/>
  </numFmts>
  <fonts count="27"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i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</cellStyleXfs>
  <cellXfs count="492">
    <xf numFmtId="0" fontId="0" fillId="0" borderId="0" xfId="0"/>
    <xf numFmtId="0" fontId="6" fillId="2" borderId="0" xfId="0" applyFont="1" applyFill="1"/>
    <xf numFmtId="0" fontId="1" fillId="2" borderId="0" xfId="1" applyFill="1"/>
    <xf numFmtId="0" fontId="1" fillId="0" borderId="0" xfId="1"/>
    <xf numFmtId="0" fontId="8" fillId="0" borderId="0" xfId="1" applyFont="1"/>
    <xf numFmtId="0" fontId="1" fillId="2" borderId="0" xfId="1" applyFont="1" applyFill="1"/>
    <xf numFmtId="0" fontId="1" fillId="2" borderId="0" xfId="1" applyFont="1" applyFill="1" applyBorder="1"/>
    <xf numFmtId="1" fontId="6" fillId="2" borderId="0" xfId="0" applyNumberFormat="1" applyFont="1" applyFill="1" applyAlignment="1">
      <alignment horizontal="left" vertical="top"/>
    </xf>
    <xf numFmtId="1" fontId="6" fillId="2" borderId="9" xfId="0" applyNumberFormat="1" applyFont="1" applyFill="1" applyBorder="1" applyAlignment="1">
      <alignment horizontal="left" vertical="top"/>
    </xf>
    <xf numFmtId="0" fontId="6" fillId="2" borderId="0" xfId="1" applyFont="1" applyFill="1"/>
    <xf numFmtId="0" fontId="6" fillId="2" borderId="0" xfId="1" applyFont="1" applyFill="1" applyAlignment="1">
      <alignment horizontal="left"/>
    </xf>
    <xf numFmtId="0" fontId="10" fillId="2" borderId="0" xfId="1" applyFont="1" applyFill="1"/>
    <xf numFmtId="0" fontId="10" fillId="2" borderId="0" xfId="1" applyFont="1" applyFill="1" applyAlignment="1"/>
    <xf numFmtId="0" fontId="6" fillId="2" borderId="0" xfId="1" applyFont="1" applyFill="1" applyBorder="1"/>
    <xf numFmtId="0" fontId="1" fillId="0" borderId="0" xfId="1" applyBorder="1"/>
    <xf numFmtId="0" fontId="11" fillId="0" borderId="0" xfId="1" applyFont="1"/>
    <xf numFmtId="0" fontId="1" fillId="0" borderId="0" xfId="1" applyAlignment="1">
      <alignment horizontal="left"/>
    </xf>
    <xf numFmtId="0" fontId="6" fillId="2" borderId="0" xfId="1" applyFont="1" applyFill="1" applyBorder="1" applyAlignment="1">
      <alignment horizontal="left" vertical="top" wrapText="1"/>
    </xf>
    <xf numFmtId="0" fontId="6" fillId="2" borderId="7" xfId="1" applyFont="1" applyFill="1" applyBorder="1" applyAlignment="1">
      <alignment horizontal="left" vertical="top" wrapText="1"/>
    </xf>
    <xf numFmtId="0" fontId="12" fillId="0" borderId="0" xfId="1" applyFont="1"/>
    <xf numFmtId="0" fontId="12" fillId="2" borderId="0" xfId="1" applyFont="1" applyFill="1" applyAlignment="1">
      <alignment horizontal="left"/>
    </xf>
    <xf numFmtId="0" fontId="7" fillId="2" borderId="0" xfId="1" applyFont="1" applyFill="1" applyAlignment="1">
      <alignment horizontal="left"/>
    </xf>
    <xf numFmtId="0" fontId="12" fillId="2" borderId="0" xfId="1" applyFont="1" applyFill="1" applyBorder="1" applyAlignment="1">
      <alignment horizontal="left"/>
    </xf>
    <xf numFmtId="0" fontId="12" fillId="2" borderId="4" xfId="1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7" fillId="2" borderId="0" xfId="1" applyFont="1" applyFill="1" applyBorder="1" applyAlignment="1">
      <alignment horizontal="left"/>
    </xf>
    <xf numFmtId="0" fontId="12" fillId="2" borderId="0" xfId="1" applyFont="1" applyFill="1" applyBorder="1"/>
    <xf numFmtId="0" fontId="12" fillId="0" borderId="0" xfId="1" applyFont="1" applyAlignment="1"/>
    <xf numFmtId="0" fontId="1" fillId="0" borderId="0" xfId="1" applyAlignment="1"/>
    <xf numFmtId="0" fontId="3" fillId="2" borderId="0" xfId="1" applyFont="1" applyFill="1" applyAlignment="1">
      <alignment horizontal="left"/>
    </xf>
    <xf numFmtId="0" fontId="6" fillId="0" borderId="0" xfId="0" applyFont="1"/>
    <xf numFmtId="1" fontId="10" fillId="0" borderId="0" xfId="0" applyNumberFormat="1" applyFont="1"/>
    <xf numFmtId="0" fontId="10" fillId="0" borderId="0" xfId="0" applyFont="1"/>
    <xf numFmtId="0" fontId="6" fillId="0" borderId="0" xfId="0" applyFont="1" applyAlignment="1">
      <alignment horizontal="center" wrapText="1"/>
    </xf>
    <xf numFmtId="0" fontId="6" fillId="2" borderId="0" xfId="1" applyFont="1" applyFill="1" applyAlignment="1">
      <alignment horizontal="left" vertical="top" wrapText="1"/>
    </xf>
    <xf numFmtId="0" fontId="10" fillId="2" borderId="0" xfId="1" applyFont="1" applyFill="1" applyAlignment="1">
      <alignment horizontal="left"/>
    </xf>
    <xf numFmtId="0" fontId="2" fillId="2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1" fillId="2" borderId="0" xfId="1" applyFill="1" applyBorder="1"/>
    <xf numFmtId="0" fontId="7" fillId="2" borderId="0" xfId="1" applyFont="1" applyFill="1"/>
    <xf numFmtId="0" fontId="7" fillId="2" borderId="4" xfId="1" applyFont="1" applyFill="1" applyBorder="1" applyAlignment="1">
      <alignment vertical="top" wrapText="1"/>
    </xf>
    <xf numFmtId="0" fontId="12" fillId="2" borderId="0" xfId="1" applyFont="1" applyFill="1"/>
    <xf numFmtId="0" fontId="3" fillId="2" borderId="0" xfId="1" applyFont="1" applyFill="1"/>
    <xf numFmtId="0" fontId="3" fillId="2" borderId="4" xfId="1" applyFont="1" applyFill="1" applyBorder="1" applyAlignment="1">
      <alignment vertical="top" wrapText="1"/>
    </xf>
    <xf numFmtId="0" fontId="3" fillId="2" borderId="0" xfId="1" applyFont="1" applyFill="1" applyBorder="1"/>
    <xf numFmtId="0" fontId="3" fillId="2" borderId="4" xfId="1" applyFont="1" applyFill="1" applyBorder="1"/>
    <xf numFmtId="0" fontId="14" fillId="2" borderId="4" xfId="0" applyFont="1" applyFill="1" applyBorder="1" applyAlignment="1">
      <alignment horizontal="left" vertical="top" wrapText="1"/>
    </xf>
    <xf numFmtId="0" fontId="8" fillId="2" borderId="0" xfId="1" applyFont="1" applyFill="1"/>
    <xf numFmtId="0" fontId="3" fillId="2" borderId="0" xfId="1" applyFont="1" applyFill="1" applyBorder="1" applyAlignment="1">
      <alignment vertical="top" wrapText="1"/>
    </xf>
    <xf numFmtId="0" fontId="3" fillId="2" borderId="10" xfId="1" applyFont="1" applyFill="1" applyBorder="1" applyAlignment="1">
      <alignment vertical="top" wrapText="1"/>
    </xf>
    <xf numFmtId="0" fontId="3" fillId="2" borderId="10" xfId="1" applyFont="1" applyFill="1" applyBorder="1"/>
    <xf numFmtId="0" fontId="3" fillId="2" borderId="0" xfId="1" applyFont="1" applyFill="1" applyAlignment="1">
      <alignment vertical="top"/>
    </xf>
    <xf numFmtId="0" fontId="3" fillId="2" borderId="0" xfId="1" applyFont="1" applyFill="1" applyAlignment="1">
      <alignment wrapText="1"/>
    </xf>
    <xf numFmtId="0" fontId="8" fillId="2" borderId="0" xfId="1" applyFont="1" applyFill="1" applyAlignment="1">
      <alignment vertical="top"/>
    </xf>
    <xf numFmtId="0" fontId="8" fillId="0" borderId="0" xfId="1" applyFont="1" applyAlignment="1">
      <alignment vertical="top"/>
    </xf>
    <xf numFmtId="0" fontId="8" fillId="2" borderId="0" xfId="1" applyFont="1" applyFill="1" applyAlignment="1">
      <alignment horizontal="left" vertical="top"/>
    </xf>
    <xf numFmtId="0" fontId="14" fillId="2" borderId="0" xfId="1" applyFont="1" applyFill="1"/>
    <xf numFmtId="0" fontId="13" fillId="2" borderId="0" xfId="1" applyFont="1" applyFill="1"/>
    <xf numFmtId="0" fontId="14" fillId="2" borderId="4" xfId="2" applyFont="1" applyFill="1" applyBorder="1" applyAlignment="1">
      <alignment horizontal="left" vertical="top" wrapText="1"/>
    </xf>
    <xf numFmtId="0" fontId="14" fillId="2" borderId="4" xfId="1" applyFont="1" applyFill="1" applyBorder="1" applyAlignment="1">
      <alignment horizontal="left" vertical="top" wrapText="1"/>
    </xf>
    <xf numFmtId="1" fontId="14" fillId="2" borderId="4" xfId="2" applyNumberFormat="1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0" fillId="4" borderId="0" xfId="0" applyFont="1" applyFill="1"/>
    <xf numFmtId="0" fontId="15" fillId="4" borderId="0" xfId="0" applyFont="1" applyFill="1" applyAlignment="1"/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horizontal="center" wrapText="1"/>
    </xf>
    <xf numFmtId="0" fontId="0" fillId="2" borderId="0" xfId="3" applyFont="1" applyFill="1"/>
    <xf numFmtId="0" fontId="18" fillId="2" borderId="0" xfId="1" applyFont="1" applyFill="1" applyAlignment="1"/>
    <xf numFmtId="0" fontId="18" fillId="2" borderId="0" xfId="1" applyFont="1" applyFill="1"/>
    <xf numFmtId="0" fontId="2" fillId="2" borderId="0" xfId="1" applyFont="1" applyFill="1"/>
    <xf numFmtId="0" fontId="2" fillId="2" borderId="4" xfId="1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1" fontId="2" fillId="2" borderId="4" xfId="2" applyNumberFormat="1" applyFont="1" applyFill="1" applyBorder="1" applyAlignment="1">
      <alignment horizontal="left" vertical="top" wrapText="1"/>
    </xf>
    <xf numFmtId="1" fontId="2" fillId="2" borderId="4" xfId="2" applyNumberFormat="1" applyFont="1" applyFill="1" applyBorder="1" applyAlignment="1">
      <alignment horizontal="left" vertical="top"/>
    </xf>
    <xf numFmtId="2" fontId="2" fillId="2" borderId="4" xfId="1" applyNumberFormat="1" applyFont="1" applyFill="1" applyBorder="1" applyAlignment="1">
      <alignment horizontal="left" vertical="top" wrapText="1"/>
    </xf>
    <xf numFmtId="164" fontId="2" fillId="2" borderId="4" xfId="1" applyNumberFormat="1" applyFont="1" applyFill="1" applyBorder="1" applyAlignment="1">
      <alignment horizontal="left" vertical="top" wrapText="1"/>
    </xf>
    <xf numFmtId="1" fontId="2" fillId="2" borderId="4" xfId="1" applyNumberFormat="1" applyFont="1" applyFill="1" applyBorder="1" applyAlignment="1">
      <alignment horizontal="left" vertical="top" wrapText="1"/>
    </xf>
    <xf numFmtId="0" fontId="13" fillId="2" borderId="0" xfId="1" applyFont="1" applyFill="1" applyAlignment="1">
      <alignment horizontal="left"/>
    </xf>
    <xf numFmtId="1" fontId="2" fillId="2" borderId="5" xfId="2" applyNumberFormat="1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/>
    </xf>
    <xf numFmtId="0" fontId="20" fillId="2" borderId="4" xfId="0" applyFont="1" applyFill="1" applyBorder="1" applyAlignment="1">
      <alignment horizontal="left" vertical="top" wrapText="1"/>
    </xf>
    <xf numFmtId="164" fontId="2" fillId="2" borderId="4" xfId="2" applyNumberFormat="1" applyFont="1" applyFill="1" applyBorder="1" applyAlignment="1">
      <alignment horizontal="left" vertical="top" wrapText="1"/>
    </xf>
    <xf numFmtId="1" fontId="2" fillId="2" borderId="4" xfId="3" applyNumberFormat="1" applyFont="1" applyFill="1" applyBorder="1" applyAlignment="1">
      <alignment horizontal="left" vertical="top" wrapText="1"/>
    </xf>
    <xf numFmtId="0" fontId="2" fillId="2" borderId="5" xfId="2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left" vertical="top" wrapText="1"/>
    </xf>
    <xf numFmtId="0" fontId="2" fillId="2" borderId="5" xfId="2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 wrapText="1"/>
    </xf>
    <xf numFmtId="49" fontId="2" fillId="2" borderId="4" xfId="2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1" fontId="2" fillId="2" borderId="5" xfId="3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 wrapText="1"/>
    </xf>
    <xf numFmtId="1" fontId="2" fillId="2" borderId="0" xfId="0" applyNumberFormat="1" applyFont="1" applyFill="1" applyAlignment="1">
      <alignment horizontal="left" vertical="top"/>
    </xf>
    <xf numFmtId="1" fontId="2" fillId="2" borderId="9" xfId="0" applyNumberFormat="1" applyFont="1" applyFill="1" applyBorder="1" applyAlignment="1">
      <alignment horizontal="left" vertical="top"/>
    </xf>
    <xf numFmtId="0" fontId="2" fillId="2" borderId="0" xfId="1" applyFont="1" applyFill="1" applyAlignment="1">
      <alignment horizontal="left" vertical="top" wrapText="1"/>
    </xf>
    <xf numFmtId="0" fontId="18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2" fillId="2" borderId="5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7" xfId="1" applyFont="1" applyFill="1" applyBorder="1" applyAlignment="1">
      <alignment horizontal="left" vertical="top" wrapText="1"/>
    </xf>
    <xf numFmtId="0" fontId="13" fillId="2" borderId="0" xfId="1" applyFont="1" applyFill="1" applyBorder="1" applyAlignment="1">
      <alignment horizontal="left"/>
    </xf>
    <xf numFmtId="2" fontId="2" fillId="2" borderId="7" xfId="1" applyNumberFormat="1" applyFont="1" applyFill="1" applyBorder="1" applyAlignment="1">
      <alignment horizontal="left" vertical="top" wrapText="1"/>
    </xf>
    <xf numFmtId="1" fontId="2" fillId="2" borderId="7" xfId="1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2" fontId="2" fillId="2" borderId="5" xfId="1" applyNumberFormat="1" applyFont="1" applyFill="1" applyBorder="1" applyAlignment="1">
      <alignment horizontal="left" vertical="top" wrapText="1"/>
    </xf>
    <xf numFmtId="1" fontId="2" fillId="2" borderId="5" xfId="1" applyNumberFormat="1" applyFont="1" applyFill="1" applyBorder="1" applyAlignment="1">
      <alignment horizontal="left" vertical="top" wrapText="1"/>
    </xf>
    <xf numFmtId="1" fontId="2" fillId="2" borderId="7" xfId="2" applyNumberFormat="1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horizontal="left" vertical="top" wrapText="1"/>
    </xf>
    <xf numFmtId="0" fontId="2" fillId="2" borderId="0" xfId="3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49" fontId="2" fillId="2" borderId="0" xfId="2" applyNumberFormat="1" applyFont="1" applyFill="1" applyBorder="1" applyAlignment="1">
      <alignment horizontal="left" vertical="top"/>
    </xf>
    <xf numFmtId="0" fontId="2" fillId="2" borderId="0" xfId="2" applyFont="1" applyFill="1" applyBorder="1" applyAlignment="1">
      <alignment horizontal="left" vertical="top"/>
    </xf>
    <xf numFmtId="2" fontId="2" fillId="2" borderId="0" xfId="1" applyNumberFormat="1" applyFont="1" applyFill="1" applyBorder="1" applyAlignment="1">
      <alignment horizontal="left" vertical="top" wrapText="1"/>
    </xf>
    <xf numFmtId="1" fontId="2" fillId="2" borderId="0" xfId="1" applyNumberFormat="1" applyFont="1" applyFill="1" applyBorder="1" applyAlignment="1">
      <alignment horizontal="left" vertical="top" wrapText="1"/>
    </xf>
    <xf numFmtId="1" fontId="2" fillId="2" borderId="0" xfId="0" applyNumberFormat="1" applyFont="1" applyFill="1" applyBorder="1" applyAlignment="1">
      <alignment horizontal="left" vertical="top"/>
    </xf>
    <xf numFmtId="0" fontId="13" fillId="2" borderId="0" xfId="1" applyFont="1" applyFill="1" applyBorder="1"/>
    <xf numFmtId="1" fontId="2" fillId="2" borderId="4" xfId="0" applyNumberFormat="1" applyFont="1" applyFill="1" applyBorder="1" applyAlignment="1">
      <alignment horizontal="left" vertical="top" wrapText="1"/>
    </xf>
    <xf numFmtId="0" fontId="2" fillId="2" borderId="0" xfId="1" applyFont="1" applyFill="1" applyBorder="1"/>
    <xf numFmtId="1" fontId="2" fillId="2" borderId="4" xfId="0" applyNumberFormat="1" applyFont="1" applyFill="1" applyBorder="1" applyAlignment="1">
      <alignment horizontal="left" vertical="top"/>
    </xf>
    <xf numFmtId="0" fontId="13" fillId="0" borderId="0" xfId="1" applyFont="1"/>
    <xf numFmtId="0" fontId="2" fillId="0" borderId="0" xfId="1" applyFont="1"/>
    <xf numFmtId="0" fontId="1" fillId="2" borderId="4" xfId="1" applyFont="1" applyFill="1" applyBorder="1"/>
    <xf numFmtId="0" fontId="1" fillId="2" borderId="3" xfId="1" applyFont="1" applyFill="1" applyBorder="1"/>
    <xf numFmtId="0" fontId="8" fillId="0" borderId="0" xfId="1" applyFont="1" applyBorder="1"/>
    <xf numFmtId="0" fontId="18" fillId="2" borderId="5" xfId="3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4" borderId="4" xfId="2" applyFont="1" applyFill="1" applyBorder="1" applyAlignment="1">
      <alignment horizontal="center" vertical="top"/>
    </xf>
    <xf numFmtId="0" fontId="5" fillId="4" borderId="4" xfId="2" applyFont="1" applyFill="1" applyBorder="1" applyAlignment="1">
      <alignment horizontal="center" vertical="top" wrapText="1"/>
    </xf>
    <xf numFmtId="0" fontId="5" fillId="4" borderId="4" xfId="2" applyFont="1" applyFill="1" applyBorder="1" applyAlignment="1">
      <alignment horizontal="left" vertical="top" textRotation="90" wrapText="1"/>
    </xf>
    <xf numFmtId="0" fontId="5" fillId="0" borderId="0" xfId="0" applyFont="1" applyAlignment="1">
      <alignment vertical="top"/>
    </xf>
    <xf numFmtId="0" fontId="5" fillId="4" borderId="0" xfId="2" applyFont="1" applyFill="1" applyBorder="1" applyAlignment="1">
      <alignment horizontal="center" vertical="top" textRotation="90" wrapText="1"/>
    </xf>
    <xf numFmtId="0" fontId="4" fillId="0" borderId="0" xfId="0" applyFont="1" applyAlignment="1">
      <alignment vertical="top"/>
    </xf>
    <xf numFmtId="0" fontId="18" fillId="2" borderId="4" xfId="0" applyFont="1" applyFill="1" applyBorder="1" applyAlignment="1">
      <alignment horizontal="center" vertical="top"/>
    </xf>
    <xf numFmtId="1" fontId="18" fillId="2" borderId="4" xfId="0" applyNumberFormat="1" applyFont="1" applyFill="1" applyBorder="1" applyAlignment="1">
      <alignment horizontal="left" vertical="top" wrapText="1"/>
    </xf>
    <xf numFmtId="2" fontId="18" fillId="2" borderId="4" xfId="0" applyNumberFormat="1" applyFont="1" applyFill="1" applyBorder="1" applyAlignment="1">
      <alignment horizontal="center" vertical="top"/>
    </xf>
    <xf numFmtId="0" fontId="18" fillId="2" borderId="0" xfId="0" applyFont="1" applyFill="1" applyAlignment="1">
      <alignment vertical="top"/>
    </xf>
    <xf numFmtId="0" fontId="0" fillId="2" borderId="0" xfId="0" applyFont="1" applyFill="1" applyBorder="1" applyAlignment="1">
      <alignment vertical="top"/>
    </xf>
    <xf numFmtId="0" fontId="0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0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center" vertical="top"/>
    </xf>
    <xf numFmtId="164" fontId="0" fillId="2" borderId="0" xfId="0" applyNumberFormat="1" applyFont="1" applyFill="1" applyAlignment="1">
      <alignment vertical="top"/>
    </xf>
    <xf numFmtId="0" fontId="6" fillId="2" borderId="0" xfId="0" applyFont="1" applyFill="1" applyAlignment="1">
      <alignment vertical="top"/>
    </xf>
    <xf numFmtId="1" fontId="18" fillId="2" borderId="4" xfId="0" applyNumberFormat="1" applyFont="1" applyFill="1" applyBorder="1" applyAlignment="1">
      <alignment horizontal="center" vertical="top"/>
    </xf>
    <xf numFmtId="164" fontId="18" fillId="2" borderId="4" xfId="0" applyNumberFormat="1" applyFont="1" applyFill="1" applyBorder="1" applyAlignment="1">
      <alignment horizontal="center" vertical="top"/>
    </xf>
    <xf numFmtId="1" fontId="0" fillId="2" borderId="4" xfId="0" applyNumberFormat="1" applyFont="1" applyFill="1" applyBorder="1" applyAlignment="1">
      <alignment horizontal="center" vertical="top"/>
    </xf>
    <xf numFmtId="164" fontId="0" fillId="2" borderId="4" xfId="0" applyNumberFormat="1" applyFont="1" applyFill="1" applyBorder="1" applyAlignment="1">
      <alignment horizontal="center" vertical="top"/>
    </xf>
    <xf numFmtId="0" fontId="21" fillId="2" borderId="4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vertical="top"/>
    </xf>
    <xf numFmtId="0" fontId="18" fillId="2" borderId="4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horizontal="center" vertical="top"/>
    </xf>
    <xf numFmtId="2" fontId="18" fillId="2" borderId="0" xfId="0" applyNumberFormat="1" applyFont="1" applyFill="1" applyBorder="1" applyAlignment="1">
      <alignment horizontal="center" vertical="top"/>
    </xf>
    <xf numFmtId="0" fontId="0" fillId="2" borderId="0" xfId="0" applyFont="1" applyFill="1" applyAlignment="1">
      <alignment horizontal="center" vertical="top" wrapText="1"/>
    </xf>
    <xf numFmtId="0" fontId="13" fillId="2" borderId="0" xfId="3" applyFont="1" applyFill="1" applyAlignment="1">
      <alignment vertical="top"/>
    </xf>
    <xf numFmtId="0" fontId="0" fillId="2" borderId="0" xfId="3" applyFont="1" applyFill="1" applyAlignment="1">
      <alignment vertical="top"/>
    </xf>
    <xf numFmtId="0" fontId="21" fillId="2" borderId="4" xfId="0" applyFont="1" applyFill="1" applyBorder="1" applyAlignment="1">
      <alignment horizontal="center" vertical="top"/>
    </xf>
    <xf numFmtId="166" fontId="21" fillId="2" borderId="4" xfId="4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1" applyFont="1" applyFill="1" applyBorder="1" applyAlignment="1">
      <alignment horizontal="left" vertical="top" wrapText="1"/>
    </xf>
    <xf numFmtId="0" fontId="6" fillId="2" borderId="4" xfId="2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6" fillId="2" borderId="4" xfId="2" applyFont="1" applyFill="1" applyBorder="1" applyAlignment="1">
      <alignment horizontal="left" vertical="top" wrapText="1"/>
    </xf>
    <xf numFmtId="0" fontId="6" fillId="2" borderId="4" xfId="3" applyFont="1" applyFill="1" applyBorder="1" applyAlignment="1">
      <alignment horizontal="left" vertical="top" wrapText="1"/>
    </xf>
    <xf numFmtId="1" fontId="6" fillId="2" borderId="4" xfId="2" applyNumberFormat="1" applyFont="1" applyFill="1" applyBorder="1" applyAlignment="1">
      <alignment horizontal="left" vertical="top"/>
    </xf>
    <xf numFmtId="0" fontId="7" fillId="2" borderId="10" xfId="1" applyFont="1" applyFill="1" applyBorder="1" applyAlignment="1">
      <alignment vertical="top" wrapText="1"/>
    </xf>
    <xf numFmtId="0" fontId="7" fillId="2" borderId="0" xfId="1" applyFont="1" applyFill="1" applyBorder="1" applyAlignment="1">
      <alignment vertical="top" wrapText="1"/>
    </xf>
    <xf numFmtId="0" fontId="12" fillId="2" borderId="10" xfId="1" applyFont="1" applyFill="1" applyBorder="1"/>
    <xf numFmtId="0" fontId="12" fillId="2" borderId="4" xfId="1" applyFont="1" applyFill="1" applyBorder="1"/>
    <xf numFmtId="0" fontId="1" fillId="2" borderId="0" xfId="1" applyFont="1" applyFill="1" applyBorder="1" applyAlignment="1">
      <alignment horizontal="left" vertical="top"/>
    </xf>
    <xf numFmtId="0" fontId="1" fillId="2" borderId="0" xfId="1" applyFont="1" applyFill="1" applyAlignment="1">
      <alignment horizontal="left" vertical="top"/>
    </xf>
    <xf numFmtId="0" fontId="1" fillId="2" borderId="3" xfId="1" applyFont="1" applyFill="1" applyBorder="1" applyAlignment="1">
      <alignment horizontal="left" vertical="top"/>
    </xf>
    <xf numFmtId="0" fontId="1" fillId="2" borderId="4" xfId="1" applyFont="1" applyFill="1" applyBorder="1" applyAlignment="1">
      <alignment horizontal="left" vertical="top"/>
    </xf>
    <xf numFmtId="0" fontId="6" fillId="2" borderId="0" xfId="3" applyFont="1" applyFill="1" applyAlignment="1">
      <alignment horizontal="center"/>
    </xf>
    <xf numFmtId="0" fontId="6" fillId="2" borderId="0" xfId="3" applyFont="1" applyFill="1"/>
    <xf numFmtId="0" fontId="10" fillId="2" borderId="0" xfId="3" applyFont="1" applyFill="1" applyAlignment="1">
      <alignment vertical="top"/>
    </xf>
    <xf numFmtId="1" fontId="6" fillId="2" borderId="0" xfId="3" applyNumberFormat="1" applyFont="1" applyFill="1" applyAlignment="1">
      <alignment vertical="top"/>
    </xf>
    <xf numFmtId="0" fontId="1" fillId="2" borderId="0" xfId="3" applyFill="1"/>
    <xf numFmtId="0" fontId="4" fillId="2" borderId="0" xfId="3" applyFont="1" applyFill="1"/>
    <xf numFmtId="0" fontId="22" fillId="2" borderId="0" xfId="3" applyFont="1" applyFill="1"/>
    <xf numFmtId="0" fontId="7" fillId="2" borderId="0" xfId="3" applyFont="1" applyFill="1"/>
    <xf numFmtId="0" fontId="11" fillId="2" borderId="0" xfId="3" applyFont="1" applyFill="1"/>
    <xf numFmtId="0" fontId="1" fillId="2" borderId="0" xfId="3" applyFill="1" applyAlignment="1">
      <alignment horizontal="center"/>
    </xf>
    <xf numFmtId="0" fontId="1" fillId="3" borderId="0" xfId="3" applyFill="1"/>
    <xf numFmtId="0" fontId="1" fillId="3" borderId="0" xfId="3" applyFont="1" applyFill="1"/>
    <xf numFmtId="1" fontId="6" fillId="2" borderId="4" xfId="2" applyNumberFormat="1" applyFont="1" applyFill="1" applyBorder="1" applyAlignment="1">
      <alignment horizontal="left" vertical="top" wrapText="1"/>
    </xf>
    <xf numFmtId="1" fontId="0" fillId="2" borderId="4" xfId="0" applyNumberFormat="1" applyFont="1" applyFill="1" applyBorder="1" applyAlignment="1">
      <alignment horizontal="left" vertical="top" wrapText="1"/>
    </xf>
    <xf numFmtId="1" fontId="0" fillId="2" borderId="0" xfId="0" applyNumberFormat="1" applyFont="1" applyFill="1" applyAlignment="1">
      <alignment vertical="top"/>
    </xf>
    <xf numFmtId="2" fontId="0" fillId="2" borderId="0" xfId="0" applyNumberFormat="1" applyFont="1" applyFill="1" applyAlignment="1">
      <alignment vertical="top"/>
    </xf>
    <xf numFmtId="1" fontId="0" fillId="2" borderId="4" xfId="0" applyNumberFormat="1" applyFont="1" applyFill="1" applyBorder="1" applyAlignment="1">
      <alignment horizontal="left" vertical="top"/>
    </xf>
    <xf numFmtId="1" fontId="18" fillId="2" borderId="0" xfId="0" applyNumberFormat="1" applyFont="1" applyFill="1" applyAlignment="1">
      <alignment vertical="top"/>
    </xf>
    <xf numFmtId="1" fontId="0" fillId="2" borderId="0" xfId="0" applyNumberFormat="1" applyFont="1" applyFill="1" applyBorder="1" applyAlignment="1">
      <alignment vertical="top"/>
    </xf>
    <xf numFmtId="2" fontId="0" fillId="2" borderId="4" xfId="0" applyNumberFormat="1" applyFont="1" applyFill="1" applyBorder="1" applyAlignment="1">
      <alignment horizontal="center" vertical="top"/>
    </xf>
    <xf numFmtId="1" fontId="18" fillId="2" borderId="4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/>
    </xf>
    <xf numFmtId="0" fontId="18" fillId="2" borderId="4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vertical="top"/>
    </xf>
    <xf numFmtId="1" fontId="0" fillId="2" borderId="0" xfId="0" applyNumberFormat="1" applyFont="1" applyFill="1"/>
    <xf numFmtId="0" fontId="5" fillId="4" borderId="4" xfId="2" applyFont="1" applyFill="1" applyBorder="1" applyAlignment="1">
      <alignment horizontal="left" vertical="top" wrapText="1"/>
    </xf>
    <xf numFmtId="0" fontId="21" fillId="2" borderId="5" xfId="0" applyFont="1" applyFill="1" applyBorder="1" applyAlignment="1">
      <alignment horizontal="center" vertical="top"/>
    </xf>
    <xf numFmtId="0" fontId="21" fillId="2" borderId="6" xfId="0" applyFont="1" applyFill="1" applyBorder="1" applyAlignment="1">
      <alignment horizontal="center" vertical="top"/>
    </xf>
    <xf numFmtId="0" fontId="21" fillId="2" borderId="7" xfId="0" applyFont="1" applyFill="1" applyBorder="1" applyAlignment="1">
      <alignment horizontal="center" vertical="top"/>
    </xf>
    <xf numFmtId="164" fontId="2" fillId="2" borderId="0" xfId="3" applyNumberFormat="1" applyFont="1" applyFill="1" applyBorder="1" applyAlignment="1">
      <alignment horizontal="left" vertical="top"/>
    </xf>
    <xf numFmtId="0" fontId="5" fillId="2" borderId="0" xfId="3" applyFont="1" applyFill="1" applyAlignment="1">
      <alignment horizontal="left" vertical="top"/>
    </xf>
    <xf numFmtId="0" fontId="2" fillId="2" borderId="0" xfId="3" applyFont="1" applyFill="1" applyAlignment="1">
      <alignment horizontal="left" vertical="top"/>
    </xf>
    <xf numFmtId="0" fontId="5" fillId="2" borderId="0" xfId="3" applyFont="1" applyFill="1"/>
    <xf numFmtId="0" fontId="21" fillId="2" borderId="4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left" vertical="top"/>
    </xf>
    <xf numFmtId="0" fontId="5" fillId="2" borderId="4" xfId="2" applyFont="1" applyFill="1" applyBorder="1" applyAlignment="1">
      <alignment horizontal="left" vertical="top" wrapText="1"/>
    </xf>
    <xf numFmtId="0" fontId="5" fillId="2" borderId="4" xfId="3" applyFont="1" applyFill="1" applyBorder="1" applyAlignment="1">
      <alignment horizontal="left" vertical="top" wrapText="1"/>
    </xf>
    <xf numFmtId="164" fontId="5" fillId="2" borderId="4" xfId="3" applyNumberFormat="1" applyFont="1" applyFill="1" applyBorder="1" applyAlignment="1">
      <alignment horizontal="left" vertical="top"/>
    </xf>
    <xf numFmtId="2" fontId="5" fillId="2" borderId="4" xfId="3" applyNumberFormat="1" applyFont="1" applyFill="1" applyBorder="1" applyAlignment="1">
      <alignment horizontal="left" vertical="top"/>
    </xf>
    <xf numFmtId="2" fontId="5" fillId="2" borderId="4" xfId="3" applyNumberFormat="1" applyFont="1" applyFill="1" applyBorder="1" applyAlignment="1">
      <alignment horizontal="left" vertical="top" wrapText="1"/>
    </xf>
    <xf numFmtId="0" fontId="21" fillId="2" borderId="4" xfId="3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 wrapText="1"/>
    </xf>
    <xf numFmtId="1" fontId="5" fillId="2" borderId="4" xfId="2" applyNumberFormat="1" applyFont="1" applyFill="1" applyBorder="1" applyAlignment="1">
      <alignment horizontal="left" vertical="top" wrapText="1"/>
    </xf>
    <xf numFmtId="1" fontId="5" fillId="2" borderId="4" xfId="3" applyNumberFormat="1" applyFont="1" applyFill="1" applyBorder="1" applyAlignment="1">
      <alignment horizontal="left" vertical="top" wrapText="1"/>
    </xf>
    <xf numFmtId="0" fontId="24" fillId="2" borderId="4" xfId="0" applyFont="1" applyFill="1" applyBorder="1" applyAlignment="1">
      <alignment horizontal="left" vertical="top" wrapText="1"/>
    </xf>
    <xf numFmtId="1" fontId="5" fillId="2" borderId="5" xfId="2" applyNumberFormat="1" applyFont="1" applyFill="1" applyBorder="1" applyAlignment="1">
      <alignment horizontal="left" vertical="top" wrapText="1"/>
    </xf>
    <xf numFmtId="2" fontId="21" fillId="2" borderId="4" xfId="3" applyNumberFormat="1" applyFont="1" applyFill="1" applyBorder="1" applyAlignment="1">
      <alignment horizontal="left" vertical="top"/>
    </xf>
    <xf numFmtId="0" fontId="5" fillId="2" borderId="0" xfId="3" applyFont="1" applyFill="1" applyBorder="1" applyAlignment="1">
      <alignment horizontal="left" vertical="top"/>
    </xf>
    <xf numFmtId="164" fontId="5" fillId="2" borderId="0" xfId="3" applyNumberFormat="1" applyFont="1" applyFill="1" applyBorder="1" applyAlignment="1">
      <alignment horizontal="left" vertical="top"/>
    </xf>
    <xf numFmtId="164" fontId="21" fillId="2" borderId="0" xfId="3" applyNumberFormat="1" applyFont="1" applyFill="1" applyBorder="1" applyAlignment="1">
      <alignment horizontal="left" vertical="top"/>
    </xf>
    <xf numFmtId="0" fontId="5" fillId="2" borderId="0" xfId="3" applyFont="1" applyFill="1" applyAlignment="1">
      <alignment vertical="top"/>
    </xf>
    <xf numFmtId="0" fontId="5" fillId="2" borderId="0" xfId="3" applyFont="1" applyFill="1" applyAlignment="1"/>
    <xf numFmtId="0" fontId="21" fillId="2" borderId="4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vertical="top" wrapText="1"/>
    </xf>
    <xf numFmtId="2" fontId="6" fillId="2" borderId="4" xfId="1" applyNumberFormat="1" applyFont="1" applyFill="1" applyBorder="1" applyAlignment="1">
      <alignment horizontal="left" vertical="top" wrapText="1"/>
    </xf>
    <xf numFmtId="164" fontId="6" fillId="2" borderId="4" xfId="1" applyNumberFormat="1" applyFont="1" applyFill="1" applyBorder="1" applyAlignment="1">
      <alignment horizontal="left" vertical="top" wrapText="1"/>
    </xf>
    <xf numFmtId="1" fontId="6" fillId="2" borderId="4" xfId="1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/>
    </xf>
    <xf numFmtId="49" fontId="6" fillId="2" borderId="4" xfId="2" applyNumberFormat="1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/>
    </xf>
    <xf numFmtId="1" fontId="6" fillId="2" borderId="5" xfId="3" applyNumberFormat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left"/>
    </xf>
    <xf numFmtId="1" fontId="6" fillId="2" borderId="7" xfId="1" applyNumberFormat="1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3" fillId="0" borderId="0" xfId="1" applyFont="1"/>
    <xf numFmtId="0" fontId="22" fillId="2" borderId="0" xfId="1" applyFont="1" applyFill="1"/>
    <xf numFmtId="0" fontId="22" fillId="2" borderId="0" xfId="1" applyFont="1" applyFill="1" applyAlignment="1">
      <alignment horizontal="left"/>
    </xf>
    <xf numFmtId="0" fontId="22" fillId="2" borderId="10" xfId="1" applyFont="1" applyFill="1" applyBorder="1" applyAlignment="1">
      <alignment horizontal="left"/>
    </xf>
    <xf numFmtId="0" fontId="22" fillId="2" borderId="10" xfId="0" applyFont="1" applyFill="1" applyBorder="1" applyAlignment="1">
      <alignment horizontal="left"/>
    </xf>
    <xf numFmtId="0" fontId="22" fillId="2" borderId="0" xfId="1" applyFont="1" applyFill="1" applyBorder="1" applyAlignment="1">
      <alignment horizontal="left"/>
    </xf>
    <xf numFmtId="0" fontId="22" fillId="2" borderId="0" xfId="1" applyFont="1" applyFill="1" applyBorder="1"/>
    <xf numFmtId="0" fontId="22" fillId="2" borderId="0" xfId="1" applyFont="1" applyFill="1" applyBorder="1" applyAlignment="1">
      <alignment vertical="top"/>
    </xf>
    <xf numFmtId="0" fontId="22" fillId="0" borderId="0" xfId="1" applyFont="1"/>
    <xf numFmtId="0" fontId="17" fillId="2" borderId="0" xfId="1" applyFont="1" applyFill="1" applyAlignment="1"/>
    <xf numFmtId="0" fontId="17" fillId="2" borderId="0" xfId="1" applyFont="1" applyFill="1"/>
    <xf numFmtId="0" fontId="15" fillId="2" borderId="0" xfId="1" applyFont="1" applyFill="1"/>
    <xf numFmtId="0" fontId="15" fillId="2" borderId="0" xfId="1" applyFont="1" applyFill="1" applyAlignment="1"/>
    <xf numFmtId="0" fontId="15" fillId="2" borderId="4" xfId="1" applyFont="1" applyFill="1" applyBorder="1" applyAlignment="1">
      <alignment vertical="top" wrapText="1"/>
    </xf>
    <xf numFmtId="0" fontId="15" fillId="2" borderId="4" xfId="1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1" fontId="15" fillId="2" borderId="4" xfId="2" applyNumberFormat="1" applyFont="1" applyFill="1" applyBorder="1" applyAlignment="1">
      <alignment horizontal="left" vertical="top" wrapText="1"/>
    </xf>
    <xf numFmtId="1" fontId="15" fillId="2" borderId="4" xfId="2" applyNumberFormat="1" applyFont="1" applyFill="1" applyBorder="1" applyAlignment="1">
      <alignment horizontal="left" vertical="top"/>
    </xf>
    <xf numFmtId="2" fontId="15" fillId="2" borderId="4" xfId="1" applyNumberFormat="1" applyFont="1" applyFill="1" applyBorder="1" applyAlignment="1">
      <alignment horizontal="left" vertical="top" wrapText="1"/>
    </xf>
    <xf numFmtId="164" fontId="15" fillId="2" borderId="4" xfId="1" applyNumberFormat="1" applyFont="1" applyFill="1" applyBorder="1" applyAlignment="1">
      <alignment horizontal="left" vertical="top" wrapText="1"/>
    </xf>
    <xf numFmtId="1" fontId="15" fillId="2" borderId="4" xfId="1" applyNumberFormat="1" applyFont="1" applyFill="1" applyBorder="1" applyAlignment="1">
      <alignment horizontal="left" vertical="top" wrapText="1"/>
    </xf>
    <xf numFmtId="1" fontId="15" fillId="2" borderId="5" xfId="2" applyNumberFormat="1" applyFont="1" applyFill="1" applyBorder="1" applyAlignment="1">
      <alignment horizontal="left" vertical="top" wrapText="1"/>
    </xf>
    <xf numFmtId="0" fontId="15" fillId="2" borderId="4" xfId="2" applyFont="1" applyFill="1" applyBorder="1" applyAlignment="1">
      <alignment horizontal="left" vertical="top" wrapText="1"/>
    </xf>
    <xf numFmtId="0" fontId="15" fillId="2" borderId="4" xfId="3" applyFont="1" applyFill="1" applyBorder="1" applyAlignment="1">
      <alignment horizontal="left" vertical="top" wrapText="1"/>
    </xf>
    <xf numFmtId="0" fontId="15" fillId="2" borderId="4" xfId="2" applyFont="1" applyFill="1" applyBorder="1" applyAlignment="1">
      <alignment horizontal="left" vertical="top"/>
    </xf>
    <xf numFmtId="0" fontId="25" fillId="2" borderId="4" xfId="0" applyFont="1" applyFill="1" applyBorder="1" applyAlignment="1">
      <alignment horizontal="left" vertical="top" wrapText="1"/>
    </xf>
    <xf numFmtId="164" fontId="15" fillId="2" borderId="4" xfId="2" applyNumberFormat="1" applyFont="1" applyFill="1" applyBorder="1" applyAlignment="1">
      <alignment horizontal="left" vertical="top" wrapText="1"/>
    </xf>
    <xf numFmtId="1" fontId="15" fillId="2" borderId="4" xfId="3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/>
    </xf>
    <xf numFmtId="0" fontId="15" fillId="2" borderId="5" xfId="2" applyFont="1" applyFill="1" applyBorder="1" applyAlignment="1">
      <alignment horizontal="left" vertical="top" wrapText="1"/>
    </xf>
    <xf numFmtId="0" fontId="15" fillId="2" borderId="5" xfId="3" applyFont="1" applyFill="1" applyBorder="1" applyAlignment="1">
      <alignment horizontal="left" vertical="top" wrapText="1"/>
    </xf>
    <xf numFmtId="0" fontId="15" fillId="2" borderId="5" xfId="2" applyFont="1" applyFill="1" applyBorder="1" applyAlignment="1">
      <alignment horizontal="left" vertical="top"/>
    </xf>
    <xf numFmtId="0" fontId="15" fillId="2" borderId="4" xfId="0" applyFont="1" applyFill="1" applyBorder="1" applyAlignment="1">
      <alignment vertical="top" wrapText="1"/>
    </xf>
    <xf numFmtId="49" fontId="15" fillId="2" borderId="4" xfId="2" applyNumberFormat="1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/>
    </xf>
    <xf numFmtId="0" fontId="15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top"/>
    </xf>
    <xf numFmtId="0" fontId="15" fillId="2" borderId="4" xfId="0" applyFont="1" applyFill="1" applyBorder="1" applyAlignment="1">
      <alignment horizontal="left"/>
    </xf>
    <xf numFmtId="1" fontId="15" fillId="2" borderId="5" xfId="3" applyNumberFormat="1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7" xfId="1" applyFont="1" applyFill="1" applyBorder="1" applyAlignment="1">
      <alignment horizontal="left" vertical="top" wrapText="1"/>
    </xf>
    <xf numFmtId="0" fontId="15" fillId="2" borderId="0" xfId="1" applyFont="1" applyFill="1" applyBorder="1" applyAlignment="1">
      <alignment horizontal="left" vertical="top" wrapText="1"/>
    </xf>
    <xf numFmtId="1" fontId="15" fillId="2" borderId="0" xfId="0" applyNumberFormat="1" applyFont="1" applyFill="1" applyAlignment="1">
      <alignment horizontal="left" vertical="top"/>
    </xf>
    <xf numFmtId="1" fontId="15" fillId="2" borderId="9" xfId="0" applyNumberFormat="1" applyFont="1" applyFill="1" applyBorder="1" applyAlignment="1">
      <alignment horizontal="left" vertical="top"/>
    </xf>
    <xf numFmtId="0" fontId="15" fillId="2" borderId="0" xfId="1" applyFont="1" applyFill="1" applyAlignment="1">
      <alignment horizontal="left" vertical="top" wrapText="1"/>
    </xf>
    <xf numFmtId="0" fontId="26" fillId="2" borderId="0" xfId="1" applyFont="1" applyFill="1" applyAlignment="1">
      <alignment horizontal="left" vertical="top" wrapText="1"/>
    </xf>
    <xf numFmtId="0" fontId="26" fillId="2" borderId="0" xfId="1" applyFont="1" applyFill="1" applyBorder="1" applyAlignment="1">
      <alignment horizontal="left" vertical="top" wrapText="1"/>
    </xf>
    <xf numFmtId="0" fontId="17" fillId="2" borderId="0" xfId="1" applyFont="1" applyFill="1" applyAlignment="1">
      <alignment horizontal="left"/>
    </xf>
    <xf numFmtId="0" fontId="15" fillId="2" borderId="0" xfId="1" applyFont="1" applyFill="1" applyAlignment="1">
      <alignment horizontal="left"/>
    </xf>
    <xf numFmtId="0" fontId="19" fillId="2" borderId="0" xfId="1" applyFont="1" applyFill="1" applyAlignment="1">
      <alignment horizontal="left"/>
    </xf>
    <xf numFmtId="2" fontId="15" fillId="2" borderId="0" xfId="1" applyNumberFormat="1" applyFont="1" applyFill="1" applyAlignment="1">
      <alignment horizontal="left"/>
    </xf>
    <xf numFmtId="2" fontId="15" fillId="2" borderId="7" xfId="1" applyNumberFormat="1" applyFont="1" applyFill="1" applyBorder="1" applyAlignment="1">
      <alignment horizontal="left" vertical="top" wrapText="1"/>
    </xf>
    <xf numFmtId="1" fontId="15" fillId="2" borderId="7" xfId="1" applyNumberFormat="1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2" fontId="15" fillId="2" borderId="5" xfId="1" applyNumberFormat="1" applyFont="1" applyFill="1" applyBorder="1" applyAlignment="1">
      <alignment horizontal="left" vertical="top" wrapText="1"/>
    </xf>
    <xf numFmtId="164" fontId="14" fillId="2" borderId="4" xfId="2" applyNumberFormat="1" applyFont="1" applyFill="1" applyBorder="1" applyAlignment="1">
      <alignment horizontal="left" vertical="top" wrapText="1"/>
    </xf>
    <xf numFmtId="0" fontId="15" fillId="2" borderId="5" xfId="1" applyFont="1" applyFill="1" applyBorder="1" applyAlignment="1">
      <alignment horizontal="left" vertical="top" wrapText="1"/>
    </xf>
    <xf numFmtId="1" fontId="15" fillId="2" borderId="5" xfId="1" applyNumberFormat="1" applyFont="1" applyFill="1" applyBorder="1" applyAlignment="1">
      <alignment horizontal="left" vertical="top" wrapText="1"/>
    </xf>
    <xf numFmtId="2" fontId="15" fillId="2" borderId="4" xfId="0" applyNumberFormat="1" applyFont="1" applyFill="1" applyBorder="1" applyAlignment="1">
      <alignment horizontal="left"/>
    </xf>
    <xf numFmtId="1" fontId="15" fillId="2" borderId="7" xfId="2" applyNumberFormat="1" applyFont="1" applyFill="1" applyBorder="1" applyAlignment="1">
      <alignment horizontal="left" vertical="top" wrapText="1"/>
    </xf>
    <xf numFmtId="0" fontId="15" fillId="2" borderId="0" xfId="2" applyFont="1" applyFill="1" applyBorder="1" applyAlignment="1">
      <alignment horizontal="left" vertical="top" wrapText="1"/>
    </xf>
    <xf numFmtId="0" fontId="15" fillId="2" borderId="0" xfId="3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49" fontId="15" fillId="2" borderId="0" xfId="2" applyNumberFormat="1" applyFont="1" applyFill="1" applyBorder="1" applyAlignment="1">
      <alignment horizontal="left" vertical="top"/>
    </xf>
    <xf numFmtId="0" fontId="15" fillId="2" borderId="0" xfId="2" applyFont="1" applyFill="1" applyBorder="1" applyAlignment="1">
      <alignment horizontal="left" vertical="top"/>
    </xf>
    <xf numFmtId="2" fontId="15" fillId="2" borderId="0" xfId="1" applyNumberFormat="1" applyFont="1" applyFill="1" applyBorder="1" applyAlignment="1">
      <alignment horizontal="left" vertical="top" wrapText="1"/>
    </xf>
    <xf numFmtId="1" fontId="15" fillId="2" borderId="0" xfId="1" applyNumberFormat="1" applyFont="1" applyFill="1" applyBorder="1" applyAlignment="1">
      <alignment horizontal="left" vertical="top" wrapText="1"/>
    </xf>
    <xf numFmtId="1" fontId="15" fillId="2" borderId="0" xfId="0" applyNumberFormat="1" applyFont="1" applyFill="1" applyBorder="1" applyAlignment="1">
      <alignment horizontal="left" vertical="top"/>
    </xf>
    <xf numFmtId="1" fontId="15" fillId="2" borderId="4" xfId="0" applyNumberFormat="1" applyFont="1" applyFill="1" applyBorder="1" applyAlignment="1">
      <alignment horizontal="left" vertical="top" wrapText="1"/>
    </xf>
    <xf numFmtId="0" fontId="15" fillId="2" borderId="0" xfId="1" applyFont="1" applyFill="1" applyBorder="1"/>
    <xf numFmtId="1" fontId="15" fillId="2" borderId="4" xfId="0" applyNumberFormat="1" applyFont="1" applyFill="1" applyBorder="1" applyAlignment="1">
      <alignment horizontal="left" vertical="top"/>
    </xf>
    <xf numFmtId="0" fontId="17" fillId="2" borderId="5" xfId="3" applyFont="1" applyFill="1" applyBorder="1" applyAlignment="1">
      <alignment horizontal="left" vertical="top" wrapText="1"/>
    </xf>
    <xf numFmtId="0" fontId="15" fillId="2" borderId="0" xfId="1" applyFont="1" applyFill="1" applyBorder="1" applyAlignment="1"/>
    <xf numFmtId="0" fontId="15" fillId="0" borderId="0" xfId="1" applyFont="1" applyAlignment="1"/>
    <xf numFmtId="0" fontId="15" fillId="0" borderId="0" xfId="1" applyFont="1"/>
    <xf numFmtId="164" fontId="2" fillId="2" borderId="0" xfId="1" applyNumberFormat="1" applyFont="1" applyFill="1"/>
    <xf numFmtId="164" fontId="2" fillId="2" borderId="5" xfId="1" applyNumberFormat="1" applyFont="1" applyFill="1" applyBorder="1" applyAlignment="1">
      <alignment horizontal="left" vertical="top" wrapText="1"/>
    </xf>
    <xf numFmtId="0" fontId="18" fillId="2" borderId="4" xfId="2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164" fontId="2" fillId="2" borderId="0" xfId="1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1" fontId="2" fillId="2" borderId="0" xfId="2" applyNumberFormat="1" applyFont="1" applyFill="1" applyBorder="1" applyAlignment="1">
      <alignment horizontal="left" vertical="top"/>
    </xf>
    <xf numFmtId="1" fontId="2" fillId="2" borderId="0" xfId="3" applyNumberFormat="1" applyFont="1" applyFill="1" applyBorder="1" applyAlignment="1">
      <alignment horizontal="left" wrapText="1"/>
    </xf>
    <xf numFmtId="1" fontId="2" fillId="2" borderId="0" xfId="3" applyNumberFormat="1" applyFont="1" applyFill="1" applyBorder="1" applyAlignment="1">
      <alignment horizontal="left" vertical="top" wrapText="1"/>
    </xf>
    <xf numFmtId="0" fontId="2" fillId="3" borderId="4" xfId="2" applyFont="1" applyFill="1" applyBorder="1" applyAlignment="1">
      <alignment horizontal="left" vertical="top" wrapText="1"/>
    </xf>
    <xf numFmtId="0" fontId="18" fillId="2" borderId="4" xfId="3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0" fontId="2" fillId="2" borderId="7" xfId="2" applyFont="1" applyFill="1" applyBorder="1" applyAlignment="1">
      <alignment horizontal="left" vertical="top"/>
    </xf>
    <xf numFmtId="2" fontId="2" fillId="2" borderId="0" xfId="1" applyNumberFormat="1" applyFont="1" applyFill="1"/>
    <xf numFmtId="164" fontId="2" fillId="2" borderId="12" xfId="1" applyNumberFormat="1" applyFont="1" applyFill="1" applyBorder="1" applyAlignment="1">
      <alignment horizontal="left" vertical="top" wrapText="1"/>
    </xf>
    <xf numFmtId="49" fontId="2" fillId="2" borderId="7" xfId="2" applyNumberFormat="1" applyFont="1" applyFill="1" applyBorder="1" applyAlignment="1">
      <alignment horizontal="left" vertical="top" wrapText="1"/>
    </xf>
    <xf numFmtId="0" fontId="2" fillId="0" borderId="0" xfId="1" applyFont="1" applyBorder="1"/>
    <xf numFmtId="164" fontId="2" fillId="2" borderId="7" xfId="1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0" xfId="1" applyFont="1" applyFill="1" applyAlignment="1">
      <alignment vertical="top"/>
    </xf>
    <xf numFmtId="164" fontId="6" fillId="2" borderId="0" xfId="1" applyNumberFormat="1" applyFont="1" applyFill="1"/>
    <xf numFmtId="164" fontId="6" fillId="2" borderId="7" xfId="1" applyNumberFormat="1" applyFont="1" applyFill="1" applyBorder="1" applyAlignment="1">
      <alignment horizontal="left" vertical="top" wrapText="1"/>
    </xf>
    <xf numFmtId="0" fontId="10" fillId="2" borderId="4" xfId="3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1" fillId="2" borderId="0" xfId="1" applyFont="1" applyFill="1" applyAlignment="1">
      <alignment vertical="top"/>
    </xf>
    <xf numFmtId="0" fontId="2" fillId="0" borderId="0" xfId="1" applyFont="1" applyAlignment="1">
      <alignment horizontal="left"/>
    </xf>
    <xf numFmtId="0" fontId="18" fillId="0" borderId="0" xfId="1" applyFont="1"/>
    <xf numFmtId="0" fontId="18" fillId="0" borderId="0" xfId="1" applyFont="1" applyAlignment="1"/>
    <xf numFmtId="164" fontId="2" fillId="0" borderId="0" xfId="1" applyNumberFormat="1" applyFont="1"/>
    <xf numFmtId="0" fontId="2" fillId="0" borderId="4" xfId="1" applyFont="1" applyBorder="1" applyAlignment="1">
      <alignment vertical="top" wrapText="1"/>
    </xf>
    <xf numFmtId="1" fontId="2" fillId="2" borderId="2" xfId="1" applyNumberFormat="1" applyFont="1" applyFill="1" applyBorder="1" applyAlignment="1">
      <alignment horizontal="left" vertical="top" wrapText="1"/>
    </xf>
    <xf numFmtId="2" fontId="2" fillId="2" borderId="6" xfId="1" applyNumberFormat="1" applyFont="1" applyFill="1" applyBorder="1" applyAlignment="1">
      <alignment horizontal="left" vertical="top" wrapText="1"/>
    </xf>
    <xf numFmtId="164" fontId="2" fillId="2" borderId="6" xfId="1" applyNumberFormat="1" applyFont="1" applyFill="1" applyBorder="1" applyAlignment="1">
      <alignment horizontal="left" vertical="top" wrapText="1"/>
    </xf>
    <xf numFmtId="1" fontId="2" fillId="2" borderId="6" xfId="1" applyNumberFormat="1" applyFont="1" applyFill="1" applyBorder="1" applyAlignment="1">
      <alignment horizontal="left" vertical="top" wrapText="1"/>
    </xf>
    <xf numFmtId="1" fontId="2" fillId="2" borderId="10" xfId="1" applyNumberFormat="1" applyFont="1" applyFill="1" applyBorder="1" applyAlignment="1">
      <alignment horizontal="left" vertical="top" wrapText="1"/>
    </xf>
    <xf numFmtId="0" fontId="0" fillId="2" borderId="4" xfId="2" applyFont="1" applyFill="1" applyBorder="1" applyAlignment="1">
      <alignment horizontal="left" vertical="top" wrapText="1"/>
    </xf>
    <xf numFmtId="49" fontId="0" fillId="2" borderId="4" xfId="2" applyNumberFormat="1" applyFont="1" applyFill="1" applyBorder="1" applyAlignment="1">
      <alignment horizontal="left" vertical="top" wrapText="1"/>
    </xf>
    <xf numFmtId="0" fontId="0" fillId="2" borderId="7" xfId="2" applyFont="1" applyFill="1" applyBorder="1" applyAlignment="1">
      <alignment horizontal="left" vertical="top"/>
    </xf>
    <xf numFmtId="0" fontId="0" fillId="2" borderId="4" xfId="3" applyFont="1" applyFill="1" applyBorder="1" applyAlignment="1">
      <alignment horizontal="left" vertical="top" wrapText="1"/>
    </xf>
    <xf numFmtId="0" fontId="21" fillId="2" borderId="2" xfId="3" applyFont="1" applyFill="1" applyBorder="1" applyAlignment="1">
      <alignment horizontal="center" vertical="center" wrapText="1"/>
    </xf>
    <xf numFmtId="0" fontId="6" fillId="2" borderId="0" xfId="3" applyFont="1" applyFill="1" applyAlignment="1">
      <alignment vertical="top"/>
    </xf>
    <xf numFmtId="0" fontId="10" fillId="2" borderId="0" xfId="3" applyFont="1" applyFill="1" applyAlignment="1">
      <alignment vertical="center"/>
    </xf>
    <xf numFmtId="0" fontId="6" fillId="2" borderId="0" xfId="3" applyFont="1" applyFill="1" applyAlignment="1">
      <alignment vertical="center"/>
    </xf>
    <xf numFmtId="1" fontId="10" fillId="2" borderId="4" xfId="3" applyNumberFormat="1" applyFont="1" applyFill="1" applyBorder="1" applyAlignment="1">
      <alignment horizontal="center" vertical="top"/>
    </xf>
    <xf numFmtId="2" fontId="21" fillId="2" borderId="7" xfId="3" applyNumberFormat="1" applyFont="1" applyFill="1" applyBorder="1" applyAlignment="1">
      <alignment horizontal="left" vertical="top"/>
    </xf>
    <xf numFmtId="1" fontId="23" fillId="2" borderId="0" xfId="3" applyNumberFormat="1" applyFont="1" applyFill="1" applyAlignment="1">
      <alignment horizontal="center" vertical="top"/>
    </xf>
    <xf numFmtId="0" fontId="23" fillId="2" borderId="0" xfId="3" applyFont="1" applyFill="1" applyAlignment="1">
      <alignment vertical="top"/>
    </xf>
    <xf numFmtId="0" fontId="1" fillId="2" borderId="0" xfId="3" applyFill="1" applyAlignment="1">
      <alignment vertical="top"/>
    </xf>
    <xf numFmtId="1" fontId="23" fillId="2" borderId="4" xfId="3" applyNumberFormat="1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/>
    </xf>
    <xf numFmtId="0" fontId="15" fillId="2" borderId="5" xfId="1" applyFont="1" applyFill="1" applyBorder="1" applyAlignment="1">
      <alignment horizontal="left" vertical="top" wrapText="1"/>
    </xf>
    <xf numFmtId="0" fontId="15" fillId="2" borderId="4" xfId="1" applyFont="1" applyFill="1" applyBorder="1" applyAlignment="1">
      <alignment horizontal="left" vertical="top" wrapText="1"/>
    </xf>
    <xf numFmtId="0" fontId="0" fillId="4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1" fontId="0" fillId="2" borderId="0" xfId="0" applyNumberFormat="1" applyFont="1" applyFill="1" applyAlignment="1">
      <alignment horizontal="center" vertical="top"/>
    </xf>
    <xf numFmtId="1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4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/>
    </xf>
    <xf numFmtId="0" fontId="21" fillId="2" borderId="5" xfId="0" applyFont="1" applyFill="1" applyBorder="1" applyAlignment="1">
      <alignment horizontal="center" vertical="top" wrapText="1"/>
    </xf>
    <xf numFmtId="0" fontId="21" fillId="2" borderId="6" xfId="0" applyFont="1" applyFill="1" applyBorder="1" applyAlignment="1">
      <alignment horizontal="center" vertical="top" wrapText="1"/>
    </xf>
    <xf numFmtId="0" fontId="21" fillId="2" borderId="7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/>
    </xf>
    <xf numFmtId="0" fontId="0" fillId="2" borderId="6" xfId="0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" vertical="top"/>
    </xf>
    <xf numFmtId="0" fontId="21" fillId="2" borderId="4" xfId="0" applyFont="1" applyFill="1" applyBorder="1" applyAlignment="1">
      <alignment horizontal="center" vertical="top" wrapText="1"/>
    </xf>
    <xf numFmtId="166" fontId="21" fillId="2" borderId="5" xfId="4" applyFont="1" applyFill="1" applyBorder="1" applyAlignment="1">
      <alignment horizontal="center" vertical="top" wrapText="1"/>
    </xf>
    <xf numFmtId="166" fontId="21" fillId="2" borderId="6" xfId="4" applyFont="1" applyFill="1" applyBorder="1" applyAlignment="1">
      <alignment horizontal="center" vertical="top" wrapText="1"/>
    </xf>
    <xf numFmtId="166" fontId="21" fillId="2" borderId="7" xfId="4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15" fillId="4" borderId="0" xfId="0" applyFont="1" applyFill="1" applyAlignment="1">
      <alignment horizontal="center" wrapText="1"/>
    </xf>
    <xf numFmtId="0" fontId="15" fillId="4" borderId="0" xfId="0" applyFont="1" applyFill="1" applyAlignment="1"/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vertical="center"/>
    </xf>
    <xf numFmtId="0" fontId="5" fillId="4" borderId="4" xfId="2" applyFont="1" applyFill="1" applyBorder="1" applyAlignment="1">
      <alignment horizontal="center" vertical="top" wrapText="1"/>
    </xf>
    <xf numFmtId="0" fontId="5" fillId="4" borderId="4" xfId="2" applyFont="1" applyFill="1" applyBorder="1" applyAlignment="1">
      <alignment vertical="top"/>
    </xf>
    <xf numFmtId="0" fontId="5" fillId="4" borderId="4" xfId="2" applyFont="1" applyFill="1" applyBorder="1" applyAlignment="1">
      <alignment horizontal="center" vertical="top"/>
    </xf>
    <xf numFmtId="0" fontId="5" fillId="4" borderId="5" xfId="2" applyFont="1" applyFill="1" applyBorder="1" applyAlignment="1">
      <alignment horizontal="left" vertical="center" textRotation="90" wrapText="1"/>
    </xf>
    <xf numFmtId="0" fontId="5" fillId="4" borderId="7" xfId="2" applyFont="1" applyFill="1" applyBorder="1" applyAlignment="1">
      <alignment horizontal="left" vertical="center" textRotation="90" wrapText="1"/>
    </xf>
    <xf numFmtId="0" fontId="5" fillId="4" borderId="5" xfId="2" applyFont="1" applyFill="1" applyBorder="1" applyAlignment="1">
      <alignment horizontal="center" vertical="center" textRotation="90" wrapText="1"/>
    </xf>
    <xf numFmtId="0" fontId="5" fillId="4" borderId="7" xfId="2" applyFont="1" applyFill="1" applyBorder="1" applyAlignment="1">
      <alignment horizontal="center" vertical="center" textRotation="90" wrapText="1"/>
    </xf>
    <xf numFmtId="0" fontId="16" fillId="4" borderId="5" xfId="2" applyFont="1" applyFill="1" applyBorder="1" applyAlignment="1">
      <alignment horizontal="center" vertical="center" textRotation="90" wrapText="1"/>
    </xf>
    <xf numFmtId="0" fontId="0" fillId="4" borderId="7" xfId="0" applyFont="1" applyFill="1" applyBorder="1" applyAlignment="1">
      <alignment horizontal="center" vertical="center" textRotation="90"/>
    </xf>
    <xf numFmtId="0" fontId="5" fillId="4" borderId="4" xfId="2" applyFont="1" applyFill="1" applyBorder="1" applyAlignment="1">
      <alignment horizontal="center" vertical="top" textRotation="90"/>
    </xf>
    <xf numFmtId="0" fontId="5" fillId="4" borderId="4" xfId="2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2" borderId="4" xfId="2" applyFont="1" applyFill="1" applyBorder="1" applyAlignment="1">
      <alignment horizontal="center" vertical="top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/>
    <xf numFmtId="0" fontId="5" fillId="2" borderId="7" xfId="3" applyFont="1" applyFill="1" applyBorder="1" applyAlignment="1"/>
    <xf numFmtId="0" fontId="5" fillId="2" borderId="5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2" fillId="2" borderId="0" xfId="3" applyFont="1" applyFill="1" applyAlignment="1">
      <alignment horizontal="center"/>
    </xf>
    <xf numFmtId="0" fontId="2" fillId="2" borderId="0" xfId="3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21" fillId="2" borderId="4" xfId="3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  <xf numFmtId="0" fontId="21" fillId="2" borderId="3" xfId="3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3" xfId="3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left" vertical="top" wrapText="1"/>
    </xf>
    <xf numFmtId="0" fontId="15" fillId="2" borderId="6" xfId="1" applyFont="1" applyFill="1" applyBorder="1" applyAlignment="1">
      <alignment horizontal="left" vertical="top" wrapText="1"/>
    </xf>
    <xf numFmtId="0" fontId="15" fillId="2" borderId="7" xfId="1" applyFont="1" applyFill="1" applyBorder="1" applyAlignment="1">
      <alignment horizontal="left" vertical="top" wrapText="1"/>
    </xf>
    <xf numFmtId="0" fontId="15" fillId="2" borderId="4" xfId="1" applyFont="1" applyFill="1" applyBorder="1" applyAlignment="1">
      <alignment horizontal="left" vertical="top" wrapText="1"/>
    </xf>
    <xf numFmtId="0" fontId="15" fillId="2" borderId="5" xfId="1" applyFont="1" applyFill="1" applyBorder="1" applyAlignment="1">
      <alignment horizontal="center" vertical="top" wrapText="1"/>
    </xf>
    <xf numFmtId="0" fontId="15" fillId="2" borderId="6" xfId="1" applyFont="1" applyFill="1" applyBorder="1" applyAlignment="1">
      <alignment horizontal="center" vertical="top" wrapText="1"/>
    </xf>
    <xf numFmtId="0" fontId="15" fillId="2" borderId="7" xfId="1" applyFont="1" applyFill="1" applyBorder="1" applyAlignment="1">
      <alignment horizontal="center" vertical="top" wrapText="1"/>
    </xf>
    <xf numFmtId="0" fontId="15" fillId="2" borderId="0" xfId="1" applyFont="1" applyFill="1" applyAlignment="1">
      <alignment horizontal="center"/>
    </xf>
    <xf numFmtId="1" fontId="15" fillId="2" borderId="9" xfId="2" applyNumberFormat="1" applyFont="1" applyFill="1" applyBorder="1" applyAlignment="1">
      <alignment horizontal="center"/>
    </xf>
    <xf numFmtId="1" fontId="15" fillId="2" borderId="1" xfId="2" applyNumberFormat="1" applyFont="1" applyFill="1" applyBorder="1" applyAlignment="1">
      <alignment horizontal="center"/>
    </xf>
    <xf numFmtId="0" fontId="15" fillId="2" borderId="0" xfId="1" applyFont="1" applyFill="1" applyAlignment="1">
      <alignment horizontal="left" vertical="top" wrapText="1"/>
    </xf>
    <xf numFmtId="1" fontId="19" fillId="2" borderId="1" xfId="2" applyNumberFormat="1" applyFont="1" applyFill="1" applyBorder="1" applyAlignment="1">
      <alignment horizontal="center"/>
    </xf>
    <xf numFmtId="0" fontId="26" fillId="2" borderId="0" xfId="1" applyFont="1" applyFill="1" applyBorder="1" applyAlignment="1">
      <alignment horizontal="left" vertical="top" wrapText="1"/>
    </xf>
    <xf numFmtId="0" fontId="26" fillId="2" borderId="0" xfId="1" applyFont="1" applyFill="1" applyAlignment="1">
      <alignment horizontal="left" vertical="top" wrapText="1"/>
    </xf>
    <xf numFmtId="0" fontId="15" fillId="2" borderId="2" xfId="1" applyFont="1" applyFill="1" applyBorder="1" applyAlignment="1">
      <alignment horizontal="center" vertical="top" wrapText="1"/>
    </xf>
    <xf numFmtId="0" fontId="15" fillId="2" borderId="1" xfId="1" applyFont="1" applyFill="1" applyBorder="1" applyAlignment="1">
      <alignment horizontal="center" vertical="top" wrapText="1"/>
    </xf>
    <xf numFmtId="0" fontId="15" fillId="2" borderId="3" xfId="1" applyFont="1" applyFill="1" applyBorder="1" applyAlignment="1">
      <alignment horizontal="center" vertical="top" wrapText="1"/>
    </xf>
    <xf numFmtId="0" fontId="15" fillId="2" borderId="5" xfId="1" applyFont="1" applyFill="1" applyBorder="1" applyAlignment="1">
      <alignment vertical="top" wrapText="1"/>
    </xf>
    <xf numFmtId="0" fontId="15" fillId="2" borderId="6" xfId="1" applyFont="1" applyFill="1" applyBorder="1" applyAlignment="1">
      <alignment vertical="top" wrapText="1"/>
    </xf>
    <xf numFmtId="0" fontId="15" fillId="2" borderId="7" xfId="1" applyFont="1" applyFill="1" applyBorder="1" applyAlignment="1">
      <alignment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/>
    </xf>
    <xf numFmtId="1" fontId="2" fillId="2" borderId="9" xfId="2" applyNumberFormat="1" applyFont="1" applyFill="1" applyBorder="1" applyAlignment="1">
      <alignment horizontal="center"/>
    </xf>
    <xf numFmtId="1" fontId="2" fillId="2" borderId="1" xfId="2" applyNumberFormat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/>
    </xf>
    <xf numFmtId="1" fontId="6" fillId="2" borderId="9" xfId="2" applyNumberFormat="1" applyFont="1" applyFill="1" applyBorder="1" applyAlignment="1">
      <alignment horizontal="center"/>
    </xf>
    <xf numFmtId="1" fontId="6" fillId="2" borderId="1" xfId="2" applyNumberFormat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0" fontId="1" fillId="2" borderId="0" xfId="3" applyFont="1" applyFill="1"/>
    <xf numFmtId="0" fontId="0" fillId="0" borderId="0" xfId="0" applyFont="1" applyBorder="1"/>
    <xf numFmtId="0" fontId="6" fillId="0" borderId="0" xfId="0" applyFont="1" applyBorder="1"/>
    <xf numFmtId="0" fontId="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0" fillId="2" borderId="0" xfId="0" applyFont="1" applyFill="1" applyBorder="1"/>
    <xf numFmtId="0" fontId="6" fillId="2" borderId="0" xfId="0" applyFont="1" applyFill="1" applyBorder="1"/>
    <xf numFmtId="165" fontId="18" fillId="2" borderId="4" xfId="0" applyNumberFormat="1" applyFont="1" applyFill="1" applyBorder="1" applyAlignment="1">
      <alignment horizontal="center" vertical="top"/>
    </xf>
  </cellXfs>
  <cellStyles count="5">
    <cellStyle name="Обычный" xfId="0" builtinId="0"/>
    <cellStyle name="Обычный 2" xfId="1"/>
    <cellStyle name="Обычный_Тариф на 01.09.05" xfId="3"/>
    <cellStyle name="Обычный_Тариф." xfId="2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0;&#1043;&#1050;&#1055;-2014-2016\&#1043;&#1088;&#1072;&#1092;&#1080;&#1082;%202018\&#1058;&#1072;&#1088;&#1080;&#1092;&#1080;&#1082;&#1072;&#1094;&#1080;&#1103;%20&#1076;&#1085;&#1077;&#1074;&#1085;.-&#1080;&#1089;&#1087;&#1088;%202,3,4%20&#1082;&#1091;&#1088;&#1089;%20&#1085;&#1072;%202018-2019&#1091;&#1095;.&#1075;&#1086;&#1076;%20&#1076;&#1085;&#1077;&#1074;&#1085;&#1086;&#1077;%20-%20&#1082;&#1086;&#1087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0;&#1043;&#1050;&#1055;-2014-2016\&#1043;&#1088;&#1072;&#1092;&#1080;&#1082;%202018\&#1050;&#1043;&#1050;&#1055;-2014-2016\&#1056;&#1059;&#1055;,&#1063;&#1072;&#1089;&#1086;&#1074;&#1072;&#1103;%20&#1085;&#1072;&#1075;&#1088;&#1091;&#1079;&#1082;&#1072;%20&#1085;&#1072;%202016-2017&#1091;&#1095;.&#1075;\&#1056;&#1072;&#1089;&#1095;&#1077;&#1090;%20&#1080;%20&#1090;&#1072;&#1088;&#1080;&#1092;&#1080;&#1082;&#1072;&#1094;&#1080;&#1103;%20&#1085;&#1072;%2001.09.16&#1075;%20&#1056;&#1055;&#1058;&#1050;\&#1058;&#1072;&#1088;&#1080;&#1092;&#1080;&#1082;&#1072;&#1094;&#1080;&#1103;%20&#1076;&#1085;&#1077;&#1074;&#1085;&#1086;&#1077;%20%20&#1085;&#1086;&#1074;&#1072;&#1103;%20&#1080;&#1089;&#1087;&#1088;&#1072;&#1074;&#1083;&#1077;&#1085;&#1072;%2026.09.16%20-%20&#1082;&#1086;&#1087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по курсам"/>
      <sheetName val="Пров. тетр д.о."/>
      <sheetName val="ТОиРГЭО"/>
      <sheetName val="УиА"/>
      <sheetName val="ТЗОиРЭиЭО"/>
      <sheetName val="ТМ"/>
      <sheetName val="ЭРиТОПСЖД"/>
      <sheetName val="ОП"/>
      <sheetName val="АиУ"/>
      <sheetName val="Лист1 (2)"/>
    </sheetNames>
    <sheetDataSet>
      <sheetData sheetId="0"/>
      <sheetData sheetId="1"/>
      <sheetData sheetId="2">
        <row r="16">
          <cell r="C16" t="str">
            <v>0707000 Техническое обслуживание и ремонт горного электромеханического оборудования</v>
          </cell>
        </row>
      </sheetData>
      <sheetData sheetId="3">
        <row r="16">
          <cell r="C16" t="str">
            <v>0508000 Учет и аудит</v>
          </cell>
        </row>
      </sheetData>
      <sheetData sheetId="4">
        <row r="16">
          <cell r="C16" t="str">
            <v>0911000 Техническая эксплуатация, обслуживание и ремонт электрического и электромеханического  оборудования по видам</v>
          </cell>
        </row>
      </sheetData>
      <sheetData sheetId="5">
        <row r="17">
          <cell r="C17" t="str">
            <v>1014000 Технология машиностроения (по видам)</v>
          </cell>
        </row>
      </sheetData>
      <sheetData sheetId="6">
        <row r="16">
          <cell r="C16" t="str">
            <v xml:space="preserve"> 1108000 Эксплуатация, ремонт и техническое обслуживание подвижного состава железных дорог</v>
          </cell>
        </row>
      </sheetData>
      <sheetData sheetId="7">
        <row r="16">
          <cell r="C16" t="str">
            <v>1203000 Организация перевозок и управление движением на железнодорожном транспорте</v>
          </cell>
        </row>
      </sheetData>
      <sheetData sheetId="8">
        <row r="17">
          <cell r="C17" t="str">
            <v>1302000 Автоматизация и управление (по профилю)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по курсам"/>
      <sheetName val="Пров. тетр д.о."/>
      <sheetName val="АиУ"/>
      <sheetName val="УиА16"/>
      <sheetName val="ОП"/>
      <sheetName val="ТОиРГЭО16"/>
      <sheetName val="ЭРиТОПСЖД16"/>
      <sheetName val="ТЭОиРЭиЭО16"/>
      <sheetName val="ТМ16"/>
      <sheetName val="Лист1"/>
      <sheetName val="Лист1 (2)"/>
    </sheetNames>
    <sheetDataSet>
      <sheetData sheetId="0" refreshError="1"/>
      <sheetData sheetId="1" refreshError="1"/>
      <sheetData sheetId="2">
        <row r="65">
          <cell r="Q6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AX58"/>
  <sheetViews>
    <sheetView tabSelected="1" topLeftCell="A10" workbookViewId="0">
      <selection activeCell="H48" sqref="H48"/>
    </sheetView>
  </sheetViews>
  <sheetFormatPr defaultRowHeight="12.75"/>
  <cols>
    <col min="1" max="1" width="2.85546875" style="30" customWidth="1"/>
    <col min="2" max="2" width="28" style="30" customWidth="1"/>
    <col min="3" max="3" width="20.42578125" style="33" customWidth="1"/>
    <col min="4" max="4" width="5" style="30" customWidth="1"/>
    <col min="5" max="5" width="9.28515625" style="30" customWidth="1"/>
    <col min="6" max="6" width="6.42578125" style="30" customWidth="1"/>
    <col min="7" max="7" width="7.140625" style="30" customWidth="1"/>
    <col min="8" max="8" width="9.7109375" style="30" customWidth="1"/>
    <col min="9" max="9" width="12.42578125" style="30" customWidth="1"/>
    <col min="10" max="10" width="11.28515625" style="30" customWidth="1"/>
    <col min="11" max="11" width="13" style="30" customWidth="1"/>
    <col min="12" max="12" width="10.7109375" style="30" customWidth="1"/>
    <col min="13" max="13" width="0.7109375" style="30" hidden="1" customWidth="1"/>
    <col min="14" max="14" width="11" style="30" customWidth="1"/>
    <col min="15" max="15" width="15" style="30" customWidth="1"/>
    <col min="16" max="16" width="10.5703125" style="385" customWidth="1"/>
    <col min="17" max="17" width="10.7109375" style="385" customWidth="1"/>
    <col min="18" max="18" width="7.5703125" style="30" customWidth="1"/>
    <col min="19" max="19" width="8.7109375" style="30" customWidth="1"/>
    <col min="20" max="22" width="9.140625" style="30"/>
    <col min="23" max="50" width="9.140625" style="482"/>
    <col min="51" max="251" width="9.140625" style="30"/>
    <col min="252" max="252" width="2.85546875" style="30" customWidth="1"/>
    <col min="253" max="253" width="19.28515625" style="30" customWidth="1"/>
    <col min="254" max="254" width="22.85546875" style="30" customWidth="1"/>
    <col min="255" max="255" width="4" style="30" customWidth="1"/>
    <col min="256" max="256" width="9.28515625" style="30" customWidth="1"/>
    <col min="257" max="257" width="6.42578125" style="30" customWidth="1"/>
    <col min="258" max="258" width="7.140625" style="30" customWidth="1"/>
    <col min="259" max="259" width="7.5703125" style="30" customWidth="1"/>
    <col min="260" max="260" width="12.42578125" style="30" customWidth="1"/>
    <col min="261" max="261" width="10" style="30" customWidth="1"/>
    <col min="262" max="262" width="10.5703125" style="30" customWidth="1"/>
    <col min="263" max="263" width="10.140625" style="30" customWidth="1"/>
    <col min="264" max="265" width="0" style="30" hidden="1" customWidth="1"/>
    <col min="266" max="266" width="14.140625" style="30" customWidth="1"/>
    <col min="267" max="267" width="12.7109375" style="30" customWidth="1"/>
    <col min="268" max="268" width="9.140625" style="30"/>
    <col min="269" max="269" width="7.5703125" style="30" customWidth="1"/>
    <col min="270" max="270" width="8.7109375" style="30" customWidth="1"/>
    <col min="271" max="507" width="9.140625" style="30"/>
    <col min="508" max="508" width="2.85546875" style="30" customWidth="1"/>
    <col min="509" max="509" width="19.28515625" style="30" customWidth="1"/>
    <col min="510" max="510" width="22.85546875" style="30" customWidth="1"/>
    <col min="511" max="511" width="4" style="30" customWidth="1"/>
    <col min="512" max="512" width="9.28515625" style="30" customWidth="1"/>
    <col min="513" max="513" width="6.42578125" style="30" customWidth="1"/>
    <col min="514" max="514" width="7.140625" style="30" customWidth="1"/>
    <col min="515" max="515" width="7.5703125" style="30" customWidth="1"/>
    <col min="516" max="516" width="12.42578125" style="30" customWidth="1"/>
    <col min="517" max="517" width="10" style="30" customWidth="1"/>
    <col min="518" max="518" width="10.5703125" style="30" customWidth="1"/>
    <col min="519" max="519" width="10.140625" style="30" customWidth="1"/>
    <col min="520" max="521" width="0" style="30" hidden="1" customWidth="1"/>
    <col min="522" max="522" width="14.140625" style="30" customWidth="1"/>
    <col min="523" max="523" width="12.7109375" style="30" customWidth="1"/>
    <col min="524" max="524" width="9.140625" style="30"/>
    <col min="525" max="525" width="7.5703125" style="30" customWidth="1"/>
    <col min="526" max="526" width="8.7109375" style="30" customWidth="1"/>
    <col min="527" max="763" width="9.140625" style="30"/>
    <col min="764" max="764" width="2.85546875" style="30" customWidth="1"/>
    <col min="765" max="765" width="19.28515625" style="30" customWidth="1"/>
    <col min="766" max="766" width="22.85546875" style="30" customWidth="1"/>
    <col min="767" max="767" width="4" style="30" customWidth="1"/>
    <col min="768" max="768" width="9.28515625" style="30" customWidth="1"/>
    <col min="769" max="769" width="6.42578125" style="30" customWidth="1"/>
    <col min="770" max="770" width="7.140625" style="30" customWidth="1"/>
    <col min="771" max="771" width="7.5703125" style="30" customWidth="1"/>
    <col min="772" max="772" width="12.42578125" style="30" customWidth="1"/>
    <col min="773" max="773" width="10" style="30" customWidth="1"/>
    <col min="774" max="774" width="10.5703125" style="30" customWidth="1"/>
    <col min="775" max="775" width="10.140625" style="30" customWidth="1"/>
    <col min="776" max="777" width="0" style="30" hidden="1" customWidth="1"/>
    <col min="778" max="778" width="14.140625" style="30" customWidth="1"/>
    <col min="779" max="779" width="12.7109375" style="30" customWidth="1"/>
    <col min="780" max="780" width="9.140625" style="30"/>
    <col min="781" max="781" width="7.5703125" style="30" customWidth="1"/>
    <col min="782" max="782" width="8.7109375" style="30" customWidth="1"/>
    <col min="783" max="1019" width="9.140625" style="30"/>
    <col min="1020" max="1020" width="2.85546875" style="30" customWidth="1"/>
    <col min="1021" max="1021" width="19.28515625" style="30" customWidth="1"/>
    <col min="1022" max="1022" width="22.85546875" style="30" customWidth="1"/>
    <col min="1023" max="1023" width="4" style="30" customWidth="1"/>
    <col min="1024" max="1024" width="9.28515625" style="30" customWidth="1"/>
    <col min="1025" max="1025" width="6.42578125" style="30" customWidth="1"/>
    <col min="1026" max="1026" width="7.140625" style="30" customWidth="1"/>
    <col min="1027" max="1027" width="7.5703125" style="30" customWidth="1"/>
    <col min="1028" max="1028" width="12.42578125" style="30" customWidth="1"/>
    <col min="1029" max="1029" width="10" style="30" customWidth="1"/>
    <col min="1030" max="1030" width="10.5703125" style="30" customWidth="1"/>
    <col min="1031" max="1031" width="10.140625" style="30" customWidth="1"/>
    <col min="1032" max="1033" width="0" style="30" hidden="1" customWidth="1"/>
    <col min="1034" max="1034" width="14.140625" style="30" customWidth="1"/>
    <col min="1035" max="1035" width="12.7109375" style="30" customWidth="1"/>
    <col min="1036" max="1036" width="9.140625" style="30"/>
    <col min="1037" max="1037" width="7.5703125" style="30" customWidth="1"/>
    <col min="1038" max="1038" width="8.7109375" style="30" customWidth="1"/>
    <col min="1039" max="1275" width="9.140625" style="30"/>
    <col min="1276" max="1276" width="2.85546875" style="30" customWidth="1"/>
    <col min="1277" max="1277" width="19.28515625" style="30" customWidth="1"/>
    <col min="1278" max="1278" width="22.85546875" style="30" customWidth="1"/>
    <col min="1279" max="1279" width="4" style="30" customWidth="1"/>
    <col min="1280" max="1280" width="9.28515625" style="30" customWidth="1"/>
    <col min="1281" max="1281" width="6.42578125" style="30" customWidth="1"/>
    <col min="1282" max="1282" width="7.140625" style="30" customWidth="1"/>
    <col min="1283" max="1283" width="7.5703125" style="30" customWidth="1"/>
    <col min="1284" max="1284" width="12.42578125" style="30" customWidth="1"/>
    <col min="1285" max="1285" width="10" style="30" customWidth="1"/>
    <col min="1286" max="1286" width="10.5703125" style="30" customWidth="1"/>
    <col min="1287" max="1287" width="10.140625" style="30" customWidth="1"/>
    <col min="1288" max="1289" width="0" style="30" hidden="1" customWidth="1"/>
    <col min="1290" max="1290" width="14.140625" style="30" customWidth="1"/>
    <col min="1291" max="1291" width="12.7109375" style="30" customWidth="1"/>
    <col min="1292" max="1292" width="9.140625" style="30"/>
    <col min="1293" max="1293" width="7.5703125" style="30" customWidth="1"/>
    <col min="1294" max="1294" width="8.7109375" style="30" customWidth="1"/>
    <col min="1295" max="1531" width="9.140625" style="30"/>
    <col min="1532" max="1532" width="2.85546875" style="30" customWidth="1"/>
    <col min="1533" max="1533" width="19.28515625" style="30" customWidth="1"/>
    <col min="1534" max="1534" width="22.85546875" style="30" customWidth="1"/>
    <col min="1535" max="1535" width="4" style="30" customWidth="1"/>
    <col min="1536" max="1536" width="9.28515625" style="30" customWidth="1"/>
    <col min="1537" max="1537" width="6.42578125" style="30" customWidth="1"/>
    <col min="1538" max="1538" width="7.140625" style="30" customWidth="1"/>
    <col min="1539" max="1539" width="7.5703125" style="30" customWidth="1"/>
    <col min="1540" max="1540" width="12.42578125" style="30" customWidth="1"/>
    <col min="1541" max="1541" width="10" style="30" customWidth="1"/>
    <col min="1542" max="1542" width="10.5703125" style="30" customWidth="1"/>
    <col min="1543" max="1543" width="10.140625" style="30" customWidth="1"/>
    <col min="1544" max="1545" width="0" style="30" hidden="1" customWidth="1"/>
    <col min="1546" max="1546" width="14.140625" style="30" customWidth="1"/>
    <col min="1547" max="1547" width="12.7109375" style="30" customWidth="1"/>
    <col min="1548" max="1548" width="9.140625" style="30"/>
    <col min="1549" max="1549" width="7.5703125" style="30" customWidth="1"/>
    <col min="1550" max="1550" width="8.7109375" style="30" customWidth="1"/>
    <col min="1551" max="1787" width="9.140625" style="30"/>
    <col min="1788" max="1788" width="2.85546875" style="30" customWidth="1"/>
    <col min="1789" max="1789" width="19.28515625" style="30" customWidth="1"/>
    <col min="1790" max="1790" width="22.85546875" style="30" customWidth="1"/>
    <col min="1791" max="1791" width="4" style="30" customWidth="1"/>
    <col min="1792" max="1792" width="9.28515625" style="30" customWidth="1"/>
    <col min="1793" max="1793" width="6.42578125" style="30" customWidth="1"/>
    <col min="1794" max="1794" width="7.140625" style="30" customWidth="1"/>
    <col min="1795" max="1795" width="7.5703125" style="30" customWidth="1"/>
    <col min="1796" max="1796" width="12.42578125" style="30" customWidth="1"/>
    <col min="1797" max="1797" width="10" style="30" customWidth="1"/>
    <col min="1798" max="1798" width="10.5703125" style="30" customWidth="1"/>
    <col min="1799" max="1799" width="10.140625" style="30" customWidth="1"/>
    <col min="1800" max="1801" width="0" style="30" hidden="1" customWidth="1"/>
    <col min="1802" max="1802" width="14.140625" style="30" customWidth="1"/>
    <col min="1803" max="1803" width="12.7109375" style="30" customWidth="1"/>
    <col min="1804" max="1804" width="9.140625" style="30"/>
    <col min="1805" max="1805" width="7.5703125" style="30" customWidth="1"/>
    <col min="1806" max="1806" width="8.7109375" style="30" customWidth="1"/>
    <col min="1807" max="2043" width="9.140625" style="30"/>
    <col min="2044" max="2044" width="2.85546875" style="30" customWidth="1"/>
    <col min="2045" max="2045" width="19.28515625" style="30" customWidth="1"/>
    <col min="2046" max="2046" width="22.85546875" style="30" customWidth="1"/>
    <col min="2047" max="2047" width="4" style="30" customWidth="1"/>
    <col min="2048" max="2048" width="9.28515625" style="30" customWidth="1"/>
    <col min="2049" max="2049" width="6.42578125" style="30" customWidth="1"/>
    <col min="2050" max="2050" width="7.140625" style="30" customWidth="1"/>
    <col min="2051" max="2051" width="7.5703125" style="30" customWidth="1"/>
    <col min="2052" max="2052" width="12.42578125" style="30" customWidth="1"/>
    <col min="2053" max="2053" width="10" style="30" customWidth="1"/>
    <col min="2054" max="2054" width="10.5703125" style="30" customWidth="1"/>
    <col min="2055" max="2055" width="10.140625" style="30" customWidth="1"/>
    <col min="2056" max="2057" width="0" style="30" hidden="1" customWidth="1"/>
    <col min="2058" max="2058" width="14.140625" style="30" customWidth="1"/>
    <col min="2059" max="2059" width="12.7109375" style="30" customWidth="1"/>
    <col min="2060" max="2060" width="9.140625" style="30"/>
    <col min="2061" max="2061" width="7.5703125" style="30" customWidth="1"/>
    <col min="2062" max="2062" width="8.7109375" style="30" customWidth="1"/>
    <col min="2063" max="2299" width="9.140625" style="30"/>
    <col min="2300" max="2300" width="2.85546875" style="30" customWidth="1"/>
    <col min="2301" max="2301" width="19.28515625" style="30" customWidth="1"/>
    <col min="2302" max="2302" width="22.85546875" style="30" customWidth="1"/>
    <col min="2303" max="2303" width="4" style="30" customWidth="1"/>
    <col min="2304" max="2304" width="9.28515625" style="30" customWidth="1"/>
    <col min="2305" max="2305" width="6.42578125" style="30" customWidth="1"/>
    <col min="2306" max="2306" width="7.140625" style="30" customWidth="1"/>
    <col min="2307" max="2307" width="7.5703125" style="30" customWidth="1"/>
    <col min="2308" max="2308" width="12.42578125" style="30" customWidth="1"/>
    <col min="2309" max="2309" width="10" style="30" customWidth="1"/>
    <col min="2310" max="2310" width="10.5703125" style="30" customWidth="1"/>
    <col min="2311" max="2311" width="10.140625" style="30" customWidth="1"/>
    <col min="2312" max="2313" width="0" style="30" hidden="1" customWidth="1"/>
    <col min="2314" max="2314" width="14.140625" style="30" customWidth="1"/>
    <col min="2315" max="2315" width="12.7109375" style="30" customWidth="1"/>
    <col min="2316" max="2316" width="9.140625" style="30"/>
    <col min="2317" max="2317" width="7.5703125" style="30" customWidth="1"/>
    <col min="2318" max="2318" width="8.7109375" style="30" customWidth="1"/>
    <col min="2319" max="2555" width="9.140625" style="30"/>
    <col min="2556" max="2556" width="2.85546875" style="30" customWidth="1"/>
    <col min="2557" max="2557" width="19.28515625" style="30" customWidth="1"/>
    <col min="2558" max="2558" width="22.85546875" style="30" customWidth="1"/>
    <col min="2559" max="2559" width="4" style="30" customWidth="1"/>
    <col min="2560" max="2560" width="9.28515625" style="30" customWidth="1"/>
    <col min="2561" max="2561" width="6.42578125" style="30" customWidth="1"/>
    <col min="2562" max="2562" width="7.140625" style="30" customWidth="1"/>
    <col min="2563" max="2563" width="7.5703125" style="30" customWidth="1"/>
    <col min="2564" max="2564" width="12.42578125" style="30" customWidth="1"/>
    <col min="2565" max="2565" width="10" style="30" customWidth="1"/>
    <col min="2566" max="2566" width="10.5703125" style="30" customWidth="1"/>
    <col min="2567" max="2567" width="10.140625" style="30" customWidth="1"/>
    <col min="2568" max="2569" width="0" style="30" hidden="1" customWidth="1"/>
    <col min="2570" max="2570" width="14.140625" style="30" customWidth="1"/>
    <col min="2571" max="2571" width="12.7109375" style="30" customWidth="1"/>
    <col min="2572" max="2572" width="9.140625" style="30"/>
    <col min="2573" max="2573" width="7.5703125" style="30" customWidth="1"/>
    <col min="2574" max="2574" width="8.7109375" style="30" customWidth="1"/>
    <col min="2575" max="2811" width="9.140625" style="30"/>
    <col min="2812" max="2812" width="2.85546875" style="30" customWidth="1"/>
    <col min="2813" max="2813" width="19.28515625" style="30" customWidth="1"/>
    <col min="2814" max="2814" width="22.85546875" style="30" customWidth="1"/>
    <col min="2815" max="2815" width="4" style="30" customWidth="1"/>
    <col min="2816" max="2816" width="9.28515625" style="30" customWidth="1"/>
    <col min="2817" max="2817" width="6.42578125" style="30" customWidth="1"/>
    <col min="2818" max="2818" width="7.140625" style="30" customWidth="1"/>
    <col min="2819" max="2819" width="7.5703125" style="30" customWidth="1"/>
    <col min="2820" max="2820" width="12.42578125" style="30" customWidth="1"/>
    <col min="2821" max="2821" width="10" style="30" customWidth="1"/>
    <col min="2822" max="2822" width="10.5703125" style="30" customWidth="1"/>
    <col min="2823" max="2823" width="10.140625" style="30" customWidth="1"/>
    <col min="2824" max="2825" width="0" style="30" hidden="1" customWidth="1"/>
    <col min="2826" max="2826" width="14.140625" style="30" customWidth="1"/>
    <col min="2827" max="2827" width="12.7109375" style="30" customWidth="1"/>
    <col min="2828" max="2828" width="9.140625" style="30"/>
    <col min="2829" max="2829" width="7.5703125" style="30" customWidth="1"/>
    <col min="2830" max="2830" width="8.7109375" style="30" customWidth="1"/>
    <col min="2831" max="3067" width="9.140625" style="30"/>
    <col min="3068" max="3068" width="2.85546875" style="30" customWidth="1"/>
    <col min="3069" max="3069" width="19.28515625" style="30" customWidth="1"/>
    <col min="3070" max="3070" width="22.85546875" style="30" customWidth="1"/>
    <col min="3071" max="3071" width="4" style="30" customWidth="1"/>
    <col min="3072" max="3072" width="9.28515625" style="30" customWidth="1"/>
    <col min="3073" max="3073" width="6.42578125" style="30" customWidth="1"/>
    <col min="3074" max="3074" width="7.140625" style="30" customWidth="1"/>
    <col min="3075" max="3075" width="7.5703125" style="30" customWidth="1"/>
    <col min="3076" max="3076" width="12.42578125" style="30" customWidth="1"/>
    <col min="3077" max="3077" width="10" style="30" customWidth="1"/>
    <col min="3078" max="3078" width="10.5703125" style="30" customWidth="1"/>
    <col min="3079" max="3079" width="10.140625" style="30" customWidth="1"/>
    <col min="3080" max="3081" width="0" style="30" hidden="1" customWidth="1"/>
    <col min="3082" max="3082" width="14.140625" style="30" customWidth="1"/>
    <col min="3083" max="3083" width="12.7109375" style="30" customWidth="1"/>
    <col min="3084" max="3084" width="9.140625" style="30"/>
    <col min="3085" max="3085" width="7.5703125" style="30" customWidth="1"/>
    <col min="3086" max="3086" width="8.7109375" style="30" customWidth="1"/>
    <col min="3087" max="3323" width="9.140625" style="30"/>
    <col min="3324" max="3324" width="2.85546875" style="30" customWidth="1"/>
    <col min="3325" max="3325" width="19.28515625" style="30" customWidth="1"/>
    <col min="3326" max="3326" width="22.85546875" style="30" customWidth="1"/>
    <col min="3327" max="3327" width="4" style="30" customWidth="1"/>
    <col min="3328" max="3328" width="9.28515625" style="30" customWidth="1"/>
    <col min="3329" max="3329" width="6.42578125" style="30" customWidth="1"/>
    <col min="3330" max="3330" width="7.140625" style="30" customWidth="1"/>
    <col min="3331" max="3331" width="7.5703125" style="30" customWidth="1"/>
    <col min="3332" max="3332" width="12.42578125" style="30" customWidth="1"/>
    <col min="3333" max="3333" width="10" style="30" customWidth="1"/>
    <col min="3334" max="3334" width="10.5703125" style="30" customWidth="1"/>
    <col min="3335" max="3335" width="10.140625" style="30" customWidth="1"/>
    <col min="3336" max="3337" width="0" style="30" hidden="1" customWidth="1"/>
    <col min="3338" max="3338" width="14.140625" style="30" customWidth="1"/>
    <col min="3339" max="3339" width="12.7109375" style="30" customWidth="1"/>
    <col min="3340" max="3340" width="9.140625" style="30"/>
    <col min="3341" max="3341" width="7.5703125" style="30" customWidth="1"/>
    <col min="3342" max="3342" width="8.7109375" style="30" customWidth="1"/>
    <col min="3343" max="3579" width="9.140625" style="30"/>
    <col min="3580" max="3580" width="2.85546875" style="30" customWidth="1"/>
    <col min="3581" max="3581" width="19.28515625" style="30" customWidth="1"/>
    <col min="3582" max="3582" width="22.85546875" style="30" customWidth="1"/>
    <col min="3583" max="3583" width="4" style="30" customWidth="1"/>
    <col min="3584" max="3584" width="9.28515625" style="30" customWidth="1"/>
    <col min="3585" max="3585" width="6.42578125" style="30" customWidth="1"/>
    <col min="3586" max="3586" width="7.140625" style="30" customWidth="1"/>
    <col min="3587" max="3587" width="7.5703125" style="30" customWidth="1"/>
    <col min="3588" max="3588" width="12.42578125" style="30" customWidth="1"/>
    <col min="3589" max="3589" width="10" style="30" customWidth="1"/>
    <col min="3590" max="3590" width="10.5703125" style="30" customWidth="1"/>
    <col min="3591" max="3591" width="10.140625" style="30" customWidth="1"/>
    <col min="3592" max="3593" width="0" style="30" hidden="1" customWidth="1"/>
    <col min="3594" max="3594" width="14.140625" style="30" customWidth="1"/>
    <col min="3595" max="3595" width="12.7109375" style="30" customWidth="1"/>
    <col min="3596" max="3596" width="9.140625" style="30"/>
    <col min="3597" max="3597" width="7.5703125" style="30" customWidth="1"/>
    <col min="3598" max="3598" width="8.7109375" style="30" customWidth="1"/>
    <col min="3599" max="3835" width="9.140625" style="30"/>
    <col min="3836" max="3836" width="2.85546875" style="30" customWidth="1"/>
    <col min="3837" max="3837" width="19.28515625" style="30" customWidth="1"/>
    <col min="3838" max="3838" width="22.85546875" style="30" customWidth="1"/>
    <col min="3839" max="3839" width="4" style="30" customWidth="1"/>
    <col min="3840" max="3840" width="9.28515625" style="30" customWidth="1"/>
    <col min="3841" max="3841" width="6.42578125" style="30" customWidth="1"/>
    <col min="3842" max="3842" width="7.140625" style="30" customWidth="1"/>
    <col min="3843" max="3843" width="7.5703125" style="30" customWidth="1"/>
    <col min="3844" max="3844" width="12.42578125" style="30" customWidth="1"/>
    <col min="3845" max="3845" width="10" style="30" customWidth="1"/>
    <col min="3846" max="3846" width="10.5703125" style="30" customWidth="1"/>
    <col min="3847" max="3847" width="10.140625" style="30" customWidth="1"/>
    <col min="3848" max="3849" width="0" style="30" hidden="1" customWidth="1"/>
    <col min="3850" max="3850" width="14.140625" style="30" customWidth="1"/>
    <col min="3851" max="3851" width="12.7109375" style="30" customWidth="1"/>
    <col min="3852" max="3852" width="9.140625" style="30"/>
    <col min="3853" max="3853" width="7.5703125" style="30" customWidth="1"/>
    <col min="3854" max="3854" width="8.7109375" style="30" customWidth="1"/>
    <col min="3855" max="4091" width="9.140625" style="30"/>
    <col min="4092" max="4092" width="2.85546875" style="30" customWidth="1"/>
    <col min="4093" max="4093" width="19.28515625" style="30" customWidth="1"/>
    <col min="4094" max="4094" width="22.85546875" style="30" customWidth="1"/>
    <col min="4095" max="4095" width="4" style="30" customWidth="1"/>
    <col min="4096" max="4096" width="9.28515625" style="30" customWidth="1"/>
    <col min="4097" max="4097" width="6.42578125" style="30" customWidth="1"/>
    <col min="4098" max="4098" width="7.140625" style="30" customWidth="1"/>
    <col min="4099" max="4099" width="7.5703125" style="30" customWidth="1"/>
    <col min="4100" max="4100" width="12.42578125" style="30" customWidth="1"/>
    <col min="4101" max="4101" width="10" style="30" customWidth="1"/>
    <col min="4102" max="4102" width="10.5703125" style="30" customWidth="1"/>
    <col min="4103" max="4103" width="10.140625" style="30" customWidth="1"/>
    <col min="4104" max="4105" width="0" style="30" hidden="1" customWidth="1"/>
    <col min="4106" max="4106" width="14.140625" style="30" customWidth="1"/>
    <col min="4107" max="4107" width="12.7109375" style="30" customWidth="1"/>
    <col min="4108" max="4108" width="9.140625" style="30"/>
    <col min="4109" max="4109" width="7.5703125" style="30" customWidth="1"/>
    <col min="4110" max="4110" width="8.7109375" style="30" customWidth="1"/>
    <col min="4111" max="4347" width="9.140625" style="30"/>
    <col min="4348" max="4348" width="2.85546875" style="30" customWidth="1"/>
    <col min="4349" max="4349" width="19.28515625" style="30" customWidth="1"/>
    <col min="4350" max="4350" width="22.85546875" style="30" customWidth="1"/>
    <col min="4351" max="4351" width="4" style="30" customWidth="1"/>
    <col min="4352" max="4352" width="9.28515625" style="30" customWidth="1"/>
    <col min="4353" max="4353" width="6.42578125" style="30" customWidth="1"/>
    <col min="4354" max="4354" width="7.140625" style="30" customWidth="1"/>
    <col min="4355" max="4355" width="7.5703125" style="30" customWidth="1"/>
    <col min="4356" max="4356" width="12.42578125" style="30" customWidth="1"/>
    <col min="4357" max="4357" width="10" style="30" customWidth="1"/>
    <col min="4358" max="4358" width="10.5703125" style="30" customWidth="1"/>
    <col min="4359" max="4359" width="10.140625" style="30" customWidth="1"/>
    <col min="4360" max="4361" width="0" style="30" hidden="1" customWidth="1"/>
    <col min="4362" max="4362" width="14.140625" style="30" customWidth="1"/>
    <col min="4363" max="4363" width="12.7109375" style="30" customWidth="1"/>
    <col min="4364" max="4364" width="9.140625" style="30"/>
    <col min="4365" max="4365" width="7.5703125" style="30" customWidth="1"/>
    <col min="4366" max="4366" width="8.7109375" style="30" customWidth="1"/>
    <col min="4367" max="4603" width="9.140625" style="30"/>
    <col min="4604" max="4604" width="2.85546875" style="30" customWidth="1"/>
    <col min="4605" max="4605" width="19.28515625" style="30" customWidth="1"/>
    <col min="4606" max="4606" width="22.85546875" style="30" customWidth="1"/>
    <col min="4607" max="4607" width="4" style="30" customWidth="1"/>
    <col min="4608" max="4608" width="9.28515625" style="30" customWidth="1"/>
    <col min="4609" max="4609" width="6.42578125" style="30" customWidth="1"/>
    <col min="4610" max="4610" width="7.140625" style="30" customWidth="1"/>
    <col min="4611" max="4611" width="7.5703125" style="30" customWidth="1"/>
    <col min="4612" max="4612" width="12.42578125" style="30" customWidth="1"/>
    <col min="4613" max="4613" width="10" style="30" customWidth="1"/>
    <col min="4614" max="4614" width="10.5703125" style="30" customWidth="1"/>
    <col min="4615" max="4615" width="10.140625" style="30" customWidth="1"/>
    <col min="4616" max="4617" width="0" style="30" hidden="1" customWidth="1"/>
    <col min="4618" max="4618" width="14.140625" style="30" customWidth="1"/>
    <col min="4619" max="4619" width="12.7109375" style="30" customWidth="1"/>
    <col min="4620" max="4620" width="9.140625" style="30"/>
    <col min="4621" max="4621" width="7.5703125" style="30" customWidth="1"/>
    <col min="4622" max="4622" width="8.7109375" style="30" customWidth="1"/>
    <col min="4623" max="4859" width="9.140625" style="30"/>
    <col min="4860" max="4860" width="2.85546875" style="30" customWidth="1"/>
    <col min="4861" max="4861" width="19.28515625" style="30" customWidth="1"/>
    <col min="4862" max="4862" width="22.85546875" style="30" customWidth="1"/>
    <col min="4863" max="4863" width="4" style="30" customWidth="1"/>
    <col min="4864" max="4864" width="9.28515625" style="30" customWidth="1"/>
    <col min="4865" max="4865" width="6.42578125" style="30" customWidth="1"/>
    <col min="4866" max="4866" width="7.140625" style="30" customWidth="1"/>
    <col min="4867" max="4867" width="7.5703125" style="30" customWidth="1"/>
    <col min="4868" max="4868" width="12.42578125" style="30" customWidth="1"/>
    <col min="4869" max="4869" width="10" style="30" customWidth="1"/>
    <col min="4870" max="4870" width="10.5703125" style="30" customWidth="1"/>
    <col min="4871" max="4871" width="10.140625" style="30" customWidth="1"/>
    <col min="4872" max="4873" width="0" style="30" hidden="1" customWidth="1"/>
    <col min="4874" max="4874" width="14.140625" style="30" customWidth="1"/>
    <col min="4875" max="4875" width="12.7109375" style="30" customWidth="1"/>
    <col min="4876" max="4876" width="9.140625" style="30"/>
    <col min="4877" max="4877" width="7.5703125" style="30" customWidth="1"/>
    <col min="4878" max="4878" width="8.7109375" style="30" customWidth="1"/>
    <col min="4879" max="5115" width="9.140625" style="30"/>
    <col min="5116" max="5116" width="2.85546875" style="30" customWidth="1"/>
    <col min="5117" max="5117" width="19.28515625" style="30" customWidth="1"/>
    <col min="5118" max="5118" width="22.85546875" style="30" customWidth="1"/>
    <col min="5119" max="5119" width="4" style="30" customWidth="1"/>
    <col min="5120" max="5120" width="9.28515625" style="30" customWidth="1"/>
    <col min="5121" max="5121" width="6.42578125" style="30" customWidth="1"/>
    <col min="5122" max="5122" width="7.140625" style="30" customWidth="1"/>
    <col min="5123" max="5123" width="7.5703125" style="30" customWidth="1"/>
    <col min="5124" max="5124" width="12.42578125" style="30" customWidth="1"/>
    <col min="5125" max="5125" width="10" style="30" customWidth="1"/>
    <col min="5126" max="5126" width="10.5703125" style="30" customWidth="1"/>
    <col min="5127" max="5127" width="10.140625" style="30" customWidth="1"/>
    <col min="5128" max="5129" width="0" style="30" hidden="1" customWidth="1"/>
    <col min="5130" max="5130" width="14.140625" style="30" customWidth="1"/>
    <col min="5131" max="5131" width="12.7109375" style="30" customWidth="1"/>
    <col min="5132" max="5132" width="9.140625" style="30"/>
    <col min="5133" max="5133" width="7.5703125" style="30" customWidth="1"/>
    <col min="5134" max="5134" width="8.7109375" style="30" customWidth="1"/>
    <col min="5135" max="5371" width="9.140625" style="30"/>
    <col min="5372" max="5372" width="2.85546875" style="30" customWidth="1"/>
    <col min="5373" max="5373" width="19.28515625" style="30" customWidth="1"/>
    <col min="5374" max="5374" width="22.85546875" style="30" customWidth="1"/>
    <col min="5375" max="5375" width="4" style="30" customWidth="1"/>
    <col min="5376" max="5376" width="9.28515625" style="30" customWidth="1"/>
    <col min="5377" max="5377" width="6.42578125" style="30" customWidth="1"/>
    <col min="5378" max="5378" width="7.140625" style="30" customWidth="1"/>
    <col min="5379" max="5379" width="7.5703125" style="30" customWidth="1"/>
    <col min="5380" max="5380" width="12.42578125" style="30" customWidth="1"/>
    <col min="5381" max="5381" width="10" style="30" customWidth="1"/>
    <col min="5382" max="5382" width="10.5703125" style="30" customWidth="1"/>
    <col min="5383" max="5383" width="10.140625" style="30" customWidth="1"/>
    <col min="5384" max="5385" width="0" style="30" hidden="1" customWidth="1"/>
    <col min="5386" max="5386" width="14.140625" style="30" customWidth="1"/>
    <col min="5387" max="5387" width="12.7109375" style="30" customWidth="1"/>
    <col min="5388" max="5388" width="9.140625" style="30"/>
    <col min="5389" max="5389" width="7.5703125" style="30" customWidth="1"/>
    <col min="5390" max="5390" width="8.7109375" style="30" customWidth="1"/>
    <col min="5391" max="5627" width="9.140625" style="30"/>
    <col min="5628" max="5628" width="2.85546875" style="30" customWidth="1"/>
    <col min="5629" max="5629" width="19.28515625" style="30" customWidth="1"/>
    <col min="5630" max="5630" width="22.85546875" style="30" customWidth="1"/>
    <col min="5631" max="5631" width="4" style="30" customWidth="1"/>
    <col min="5632" max="5632" width="9.28515625" style="30" customWidth="1"/>
    <col min="5633" max="5633" width="6.42578125" style="30" customWidth="1"/>
    <col min="5634" max="5634" width="7.140625" style="30" customWidth="1"/>
    <col min="5635" max="5635" width="7.5703125" style="30" customWidth="1"/>
    <col min="5636" max="5636" width="12.42578125" style="30" customWidth="1"/>
    <col min="5637" max="5637" width="10" style="30" customWidth="1"/>
    <col min="5638" max="5638" width="10.5703125" style="30" customWidth="1"/>
    <col min="5639" max="5639" width="10.140625" style="30" customWidth="1"/>
    <col min="5640" max="5641" width="0" style="30" hidden="1" customWidth="1"/>
    <col min="5642" max="5642" width="14.140625" style="30" customWidth="1"/>
    <col min="5643" max="5643" width="12.7109375" style="30" customWidth="1"/>
    <col min="5644" max="5644" width="9.140625" style="30"/>
    <col min="5645" max="5645" width="7.5703125" style="30" customWidth="1"/>
    <col min="5646" max="5646" width="8.7109375" style="30" customWidth="1"/>
    <col min="5647" max="5883" width="9.140625" style="30"/>
    <col min="5884" max="5884" width="2.85546875" style="30" customWidth="1"/>
    <col min="5885" max="5885" width="19.28515625" style="30" customWidth="1"/>
    <col min="5886" max="5886" width="22.85546875" style="30" customWidth="1"/>
    <col min="5887" max="5887" width="4" style="30" customWidth="1"/>
    <col min="5888" max="5888" width="9.28515625" style="30" customWidth="1"/>
    <col min="5889" max="5889" width="6.42578125" style="30" customWidth="1"/>
    <col min="5890" max="5890" width="7.140625" style="30" customWidth="1"/>
    <col min="5891" max="5891" width="7.5703125" style="30" customWidth="1"/>
    <col min="5892" max="5892" width="12.42578125" style="30" customWidth="1"/>
    <col min="5893" max="5893" width="10" style="30" customWidth="1"/>
    <col min="5894" max="5894" width="10.5703125" style="30" customWidth="1"/>
    <col min="5895" max="5895" width="10.140625" style="30" customWidth="1"/>
    <col min="5896" max="5897" width="0" style="30" hidden="1" customWidth="1"/>
    <col min="5898" max="5898" width="14.140625" style="30" customWidth="1"/>
    <col min="5899" max="5899" width="12.7109375" style="30" customWidth="1"/>
    <col min="5900" max="5900" width="9.140625" style="30"/>
    <col min="5901" max="5901" width="7.5703125" style="30" customWidth="1"/>
    <col min="5902" max="5902" width="8.7109375" style="30" customWidth="1"/>
    <col min="5903" max="6139" width="9.140625" style="30"/>
    <col min="6140" max="6140" width="2.85546875" style="30" customWidth="1"/>
    <col min="6141" max="6141" width="19.28515625" style="30" customWidth="1"/>
    <col min="6142" max="6142" width="22.85546875" style="30" customWidth="1"/>
    <col min="6143" max="6143" width="4" style="30" customWidth="1"/>
    <col min="6144" max="6144" width="9.28515625" style="30" customWidth="1"/>
    <col min="6145" max="6145" width="6.42578125" style="30" customWidth="1"/>
    <col min="6146" max="6146" width="7.140625" style="30" customWidth="1"/>
    <col min="6147" max="6147" width="7.5703125" style="30" customWidth="1"/>
    <col min="6148" max="6148" width="12.42578125" style="30" customWidth="1"/>
    <col min="6149" max="6149" width="10" style="30" customWidth="1"/>
    <col min="6150" max="6150" width="10.5703125" style="30" customWidth="1"/>
    <col min="6151" max="6151" width="10.140625" style="30" customWidth="1"/>
    <col min="6152" max="6153" width="0" style="30" hidden="1" customWidth="1"/>
    <col min="6154" max="6154" width="14.140625" style="30" customWidth="1"/>
    <col min="6155" max="6155" width="12.7109375" style="30" customWidth="1"/>
    <col min="6156" max="6156" width="9.140625" style="30"/>
    <col min="6157" max="6157" width="7.5703125" style="30" customWidth="1"/>
    <col min="6158" max="6158" width="8.7109375" style="30" customWidth="1"/>
    <col min="6159" max="6395" width="9.140625" style="30"/>
    <col min="6396" max="6396" width="2.85546875" style="30" customWidth="1"/>
    <col min="6397" max="6397" width="19.28515625" style="30" customWidth="1"/>
    <col min="6398" max="6398" width="22.85546875" style="30" customWidth="1"/>
    <col min="6399" max="6399" width="4" style="30" customWidth="1"/>
    <col min="6400" max="6400" width="9.28515625" style="30" customWidth="1"/>
    <col min="6401" max="6401" width="6.42578125" style="30" customWidth="1"/>
    <col min="6402" max="6402" width="7.140625" style="30" customWidth="1"/>
    <col min="6403" max="6403" width="7.5703125" style="30" customWidth="1"/>
    <col min="6404" max="6404" width="12.42578125" style="30" customWidth="1"/>
    <col min="6405" max="6405" width="10" style="30" customWidth="1"/>
    <col min="6406" max="6406" width="10.5703125" style="30" customWidth="1"/>
    <col min="6407" max="6407" width="10.140625" style="30" customWidth="1"/>
    <col min="6408" max="6409" width="0" style="30" hidden="1" customWidth="1"/>
    <col min="6410" max="6410" width="14.140625" style="30" customWidth="1"/>
    <col min="6411" max="6411" width="12.7109375" style="30" customWidth="1"/>
    <col min="6412" max="6412" width="9.140625" style="30"/>
    <col min="6413" max="6413" width="7.5703125" style="30" customWidth="1"/>
    <col min="6414" max="6414" width="8.7109375" style="30" customWidth="1"/>
    <col min="6415" max="6651" width="9.140625" style="30"/>
    <col min="6652" max="6652" width="2.85546875" style="30" customWidth="1"/>
    <col min="6653" max="6653" width="19.28515625" style="30" customWidth="1"/>
    <col min="6654" max="6654" width="22.85546875" style="30" customWidth="1"/>
    <col min="6655" max="6655" width="4" style="30" customWidth="1"/>
    <col min="6656" max="6656" width="9.28515625" style="30" customWidth="1"/>
    <col min="6657" max="6657" width="6.42578125" style="30" customWidth="1"/>
    <col min="6658" max="6658" width="7.140625" style="30" customWidth="1"/>
    <col min="6659" max="6659" width="7.5703125" style="30" customWidth="1"/>
    <col min="6660" max="6660" width="12.42578125" style="30" customWidth="1"/>
    <col min="6661" max="6661" width="10" style="30" customWidth="1"/>
    <col min="6662" max="6662" width="10.5703125" style="30" customWidth="1"/>
    <col min="6663" max="6663" width="10.140625" style="30" customWidth="1"/>
    <col min="6664" max="6665" width="0" style="30" hidden="1" customWidth="1"/>
    <col min="6666" max="6666" width="14.140625" style="30" customWidth="1"/>
    <col min="6667" max="6667" width="12.7109375" style="30" customWidth="1"/>
    <col min="6668" max="6668" width="9.140625" style="30"/>
    <col min="6669" max="6669" width="7.5703125" style="30" customWidth="1"/>
    <col min="6670" max="6670" width="8.7109375" style="30" customWidth="1"/>
    <col min="6671" max="6907" width="9.140625" style="30"/>
    <col min="6908" max="6908" width="2.85546875" style="30" customWidth="1"/>
    <col min="6909" max="6909" width="19.28515625" style="30" customWidth="1"/>
    <col min="6910" max="6910" width="22.85546875" style="30" customWidth="1"/>
    <col min="6911" max="6911" width="4" style="30" customWidth="1"/>
    <col min="6912" max="6912" width="9.28515625" style="30" customWidth="1"/>
    <col min="6913" max="6913" width="6.42578125" style="30" customWidth="1"/>
    <col min="6914" max="6914" width="7.140625" style="30" customWidth="1"/>
    <col min="6915" max="6915" width="7.5703125" style="30" customWidth="1"/>
    <col min="6916" max="6916" width="12.42578125" style="30" customWidth="1"/>
    <col min="6917" max="6917" width="10" style="30" customWidth="1"/>
    <col min="6918" max="6918" width="10.5703125" style="30" customWidth="1"/>
    <col min="6919" max="6919" width="10.140625" style="30" customWidth="1"/>
    <col min="6920" max="6921" width="0" style="30" hidden="1" customWidth="1"/>
    <col min="6922" max="6922" width="14.140625" style="30" customWidth="1"/>
    <col min="6923" max="6923" width="12.7109375" style="30" customWidth="1"/>
    <col min="6924" max="6924" width="9.140625" style="30"/>
    <col min="6925" max="6925" width="7.5703125" style="30" customWidth="1"/>
    <col min="6926" max="6926" width="8.7109375" style="30" customWidth="1"/>
    <col min="6927" max="7163" width="9.140625" style="30"/>
    <col min="7164" max="7164" width="2.85546875" style="30" customWidth="1"/>
    <col min="7165" max="7165" width="19.28515625" style="30" customWidth="1"/>
    <col min="7166" max="7166" width="22.85546875" style="30" customWidth="1"/>
    <col min="7167" max="7167" width="4" style="30" customWidth="1"/>
    <col min="7168" max="7168" width="9.28515625" style="30" customWidth="1"/>
    <col min="7169" max="7169" width="6.42578125" style="30" customWidth="1"/>
    <col min="7170" max="7170" width="7.140625" style="30" customWidth="1"/>
    <col min="7171" max="7171" width="7.5703125" style="30" customWidth="1"/>
    <col min="7172" max="7172" width="12.42578125" style="30" customWidth="1"/>
    <col min="7173" max="7173" width="10" style="30" customWidth="1"/>
    <col min="7174" max="7174" width="10.5703125" style="30" customWidth="1"/>
    <col min="7175" max="7175" width="10.140625" style="30" customWidth="1"/>
    <col min="7176" max="7177" width="0" style="30" hidden="1" customWidth="1"/>
    <col min="7178" max="7178" width="14.140625" style="30" customWidth="1"/>
    <col min="7179" max="7179" width="12.7109375" style="30" customWidth="1"/>
    <col min="7180" max="7180" width="9.140625" style="30"/>
    <col min="7181" max="7181" width="7.5703125" style="30" customWidth="1"/>
    <col min="7182" max="7182" width="8.7109375" style="30" customWidth="1"/>
    <col min="7183" max="7419" width="9.140625" style="30"/>
    <col min="7420" max="7420" width="2.85546875" style="30" customWidth="1"/>
    <col min="7421" max="7421" width="19.28515625" style="30" customWidth="1"/>
    <col min="7422" max="7422" width="22.85546875" style="30" customWidth="1"/>
    <col min="7423" max="7423" width="4" style="30" customWidth="1"/>
    <col min="7424" max="7424" width="9.28515625" style="30" customWidth="1"/>
    <col min="7425" max="7425" width="6.42578125" style="30" customWidth="1"/>
    <col min="7426" max="7426" width="7.140625" style="30" customWidth="1"/>
    <col min="7427" max="7427" width="7.5703125" style="30" customWidth="1"/>
    <col min="7428" max="7428" width="12.42578125" style="30" customWidth="1"/>
    <col min="7429" max="7429" width="10" style="30" customWidth="1"/>
    <col min="7430" max="7430" width="10.5703125" style="30" customWidth="1"/>
    <col min="7431" max="7431" width="10.140625" style="30" customWidth="1"/>
    <col min="7432" max="7433" width="0" style="30" hidden="1" customWidth="1"/>
    <col min="7434" max="7434" width="14.140625" style="30" customWidth="1"/>
    <col min="7435" max="7435" width="12.7109375" style="30" customWidth="1"/>
    <col min="7436" max="7436" width="9.140625" style="30"/>
    <col min="7437" max="7437" width="7.5703125" style="30" customWidth="1"/>
    <col min="7438" max="7438" width="8.7109375" style="30" customWidth="1"/>
    <col min="7439" max="7675" width="9.140625" style="30"/>
    <col min="7676" max="7676" width="2.85546875" style="30" customWidth="1"/>
    <col min="7677" max="7677" width="19.28515625" style="30" customWidth="1"/>
    <col min="7678" max="7678" width="22.85546875" style="30" customWidth="1"/>
    <col min="7679" max="7679" width="4" style="30" customWidth="1"/>
    <col min="7680" max="7680" width="9.28515625" style="30" customWidth="1"/>
    <col min="7681" max="7681" width="6.42578125" style="30" customWidth="1"/>
    <col min="7682" max="7682" width="7.140625" style="30" customWidth="1"/>
    <col min="7683" max="7683" width="7.5703125" style="30" customWidth="1"/>
    <col min="7684" max="7684" width="12.42578125" style="30" customWidth="1"/>
    <col min="7685" max="7685" width="10" style="30" customWidth="1"/>
    <col min="7686" max="7686" width="10.5703125" style="30" customWidth="1"/>
    <col min="7687" max="7687" width="10.140625" style="30" customWidth="1"/>
    <col min="7688" max="7689" width="0" style="30" hidden="1" customWidth="1"/>
    <col min="7690" max="7690" width="14.140625" style="30" customWidth="1"/>
    <col min="7691" max="7691" width="12.7109375" style="30" customWidth="1"/>
    <col min="7692" max="7692" width="9.140625" style="30"/>
    <col min="7693" max="7693" width="7.5703125" style="30" customWidth="1"/>
    <col min="7694" max="7694" width="8.7109375" style="30" customWidth="1"/>
    <col min="7695" max="7931" width="9.140625" style="30"/>
    <col min="7932" max="7932" width="2.85546875" style="30" customWidth="1"/>
    <col min="7933" max="7933" width="19.28515625" style="30" customWidth="1"/>
    <col min="7934" max="7934" width="22.85546875" style="30" customWidth="1"/>
    <col min="7935" max="7935" width="4" style="30" customWidth="1"/>
    <col min="7936" max="7936" width="9.28515625" style="30" customWidth="1"/>
    <col min="7937" max="7937" width="6.42578125" style="30" customWidth="1"/>
    <col min="7938" max="7938" width="7.140625" style="30" customWidth="1"/>
    <col min="7939" max="7939" width="7.5703125" style="30" customWidth="1"/>
    <col min="7940" max="7940" width="12.42578125" style="30" customWidth="1"/>
    <col min="7941" max="7941" width="10" style="30" customWidth="1"/>
    <col min="7942" max="7942" width="10.5703125" style="30" customWidth="1"/>
    <col min="7943" max="7943" width="10.140625" style="30" customWidth="1"/>
    <col min="7944" max="7945" width="0" style="30" hidden="1" customWidth="1"/>
    <col min="7946" max="7946" width="14.140625" style="30" customWidth="1"/>
    <col min="7947" max="7947" width="12.7109375" style="30" customWidth="1"/>
    <col min="7948" max="7948" width="9.140625" style="30"/>
    <col min="7949" max="7949" width="7.5703125" style="30" customWidth="1"/>
    <col min="7950" max="7950" width="8.7109375" style="30" customWidth="1"/>
    <col min="7951" max="8187" width="9.140625" style="30"/>
    <col min="8188" max="8188" width="2.85546875" style="30" customWidth="1"/>
    <col min="8189" max="8189" width="19.28515625" style="30" customWidth="1"/>
    <col min="8190" max="8190" width="22.85546875" style="30" customWidth="1"/>
    <col min="8191" max="8191" width="4" style="30" customWidth="1"/>
    <col min="8192" max="8192" width="9.28515625" style="30" customWidth="1"/>
    <col min="8193" max="8193" width="6.42578125" style="30" customWidth="1"/>
    <col min="8194" max="8194" width="7.140625" style="30" customWidth="1"/>
    <col min="8195" max="8195" width="7.5703125" style="30" customWidth="1"/>
    <col min="8196" max="8196" width="12.42578125" style="30" customWidth="1"/>
    <col min="8197" max="8197" width="10" style="30" customWidth="1"/>
    <col min="8198" max="8198" width="10.5703125" style="30" customWidth="1"/>
    <col min="8199" max="8199" width="10.140625" style="30" customWidth="1"/>
    <col min="8200" max="8201" width="0" style="30" hidden="1" customWidth="1"/>
    <col min="8202" max="8202" width="14.140625" style="30" customWidth="1"/>
    <col min="8203" max="8203" width="12.7109375" style="30" customWidth="1"/>
    <col min="8204" max="8204" width="9.140625" style="30"/>
    <col min="8205" max="8205" width="7.5703125" style="30" customWidth="1"/>
    <col min="8206" max="8206" width="8.7109375" style="30" customWidth="1"/>
    <col min="8207" max="8443" width="9.140625" style="30"/>
    <col min="8444" max="8444" width="2.85546875" style="30" customWidth="1"/>
    <col min="8445" max="8445" width="19.28515625" style="30" customWidth="1"/>
    <col min="8446" max="8446" width="22.85546875" style="30" customWidth="1"/>
    <col min="8447" max="8447" width="4" style="30" customWidth="1"/>
    <col min="8448" max="8448" width="9.28515625" style="30" customWidth="1"/>
    <col min="8449" max="8449" width="6.42578125" style="30" customWidth="1"/>
    <col min="8450" max="8450" width="7.140625" style="30" customWidth="1"/>
    <col min="8451" max="8451" width="7.5703125" style="30" customWidth="1"/>
    <col min="8452" max="8452" width="12.42578125" style="30" customWidth="1"/>
    <col min="8453" max="8453" width="10" style="30" customWidth="1"/>
    <col min="8454" max="8454" width="10.5703125" style="30" customWidth="1"/>
    <col min="8455" max="8455" width="10.140625" style="30" customWidth="1"/>
    <col min="8456" max="8457" width="0" style="30" hidden="1" customWidth="1"/>
    <col min="8458" max="8458" width="14.140625" style="30" customWidth="1"/>
    <col min="8459" max="8459" width="12.7109375" style="30" customWidth="1"/>
    <col min="8460" max="8460" width="9.140625" style="30"/>
    <col min="8461" max="8461" width="7.5703125" style="30" customWidth="1"/>
    <col min="8462" max="8462" width="8.7109375" style="30" customWidth="1"/>
    <col min="8463" max="8699" width="9.140625" style="30"/>
    <col min="8700" max="8700" width="2.85546875" style="30" customWidth="1"/>
    <col min="8701" max="8701" width="19.28515625" style="30" customWidth="1"/>
    <col min="8702" max="8702" width="22.85546875" style="30" customWidth="1"/>
    <col min="8703" max="8703" width="4" style="30" customWidth="1"/>
    <col min="8704" max="8704" width="9.28515625" style="30" customWidth="1"/>
    <col min="8705" max="8705" width="6.42578125" style="30" customWidth="1"/>
    <col min="8706" max="8706" width="7.140625" style="30" customWidth="1"/>
    <col min="8707" max="8707" width="7.5703125" style="30" customWidth="1"/>
    <col min="8708" max="8708" width="12.42578125" style="30" customWidth="1"/>
    <col min="8709" max="8709" width="10" style="30" customWidth="1"/>
    <col min="8710" max="8710" width="10.5703125" style="30" customWidth="1"/>
    <col min="8711" max="8711" width="10.140625" style="30" customWidth="1"/>
    <col min="8712" max="8713" width="0" style="30" hidden="1" customWidth="1"/>
    <col min="8714" max="8714" width="14.140625" style="30" customWidth="1"/>
    <col min="8715" max="8715" width="12.7109375" style="30" customWidth="1"/>
    <col min="8716" max="8716" width="9.140625" style="30"/>
    <col min="8717" max="8717" width="7.5703125" style="30" customWidth="1"/>
    <col min="8718" max="8718" width="8.7109375" style="30" customWidth="1"/>
    <col min="8719" max="8955" width="9.140625" style="30"/>
    <col min="8956" max="8956" width="2.85546875" style="30" customWidth="1"/>
    <col min="8957" max="8957" width="19.28515625" style="30" customWidth="1"/>
    <col min="8958" max="8958" width="22.85546875" style="30" customWidth="1"/>
    <col min="8959" max="8959" width="4" style="30" customWidth="1"/>
    <col min="8960" max="8960" width="9.28515625" style="30" customWidth="1"/>
    <col min="8961" max="8961" width="6.42578125" style="30" customWidth="1"/>
    <col min="8962" max="8962" width="7.140625" style="30" customWidth="1"/>
    <col min="8963" max="8963" width="7.5703125" style="30" customWidth="1"/>
    <col min="8964" max="8964" width="12.42578125" style="30" customWidth="1"/>
    <col min="8965" max="8965" width="10" style="30" customWidth="1"/>
    <col min="8966" max="8966" width="10.5703125" style="30" customWidth="1"/>
    <col min="8967" max="8967" width="10.140625" style="30" customWidth="1"/>
    <col min="8968" max="8969" width="0" style="30" hidden="1" customWidth="1"/>
    <col min="8970" max="8970" width="14.140625" style="30" customWidth="1"/>
    <col min="8971" max="8971" width="12.7109375" style="30" customWidth="1"/>
    <col min="8972" max="8972" width="9.140625" style="30"/>
    <col min="8973" max="8973" width="7.5703125" style="30" customWidth="1"/>
    <col min="8974" max="8974" width="8.7109375" style="30" customWidth="1"/>
    <col min="8975" max="9211" width="9.140625" style="30"/>
    <col min="9212" max="9212" width="2.85546875" style="30" customWidth="1"/>
    <col min="9213" max="9213" width="19.28515625" style="30" customWidth="1"/>
    <col min="9214" max="9214" width="22.85546875" style="30" customWidth="1"/>
    <col min="9215" max="9215" width="4" style="30" customWidth="1"/>
    <col min="9216" max="9216" width="9.28515625" style="30" customWidth="1"/>
    <col min="9217" max="9217" width="6.42578125" style="30" customWidth="1"/>
    <col min="9218" max="9218" width="7.140625" style="30" customWidth="1"/>
    <col min="9219" max="9219" width="7.5703125" style="30" customWidth="1"/>
    <col min="9220" max="9220" width="12.42578125" style="30" customWidth="1"/>
    <col min="9221" max="9221" width="10" style="30" customWidth="1"/>
    <col min="9222" max="9222" width="10.5703125" style="30" customWidth="1"/>
    <col min="9223" max="9223" width="10.140625" style="30" customWidth="1"/>
    <col min="9224" max="9225" width="0" style="30" hidden="1" customWidth="1"/>
    <col min="9226" max="9226" width="14.140625" style="30" customWidth="1"/>
    <col min="9227" max="9227" width="12.7109375" style="30" customWidth="1"/>
    <col min="9228" max="9228" width="9.140625" style="30"/>
    <col min="9229" max="9229" width="7.5703125" style="30" customWidth="1"/>
    <col min="9230" max="9230" width="8.7109375" style="30" customWidth="1"/>
    <col min="9231" max="9467" width="9.140625" style="30"/>
    <col min="9468" max="9468" width="2.85546875" style="30" customWidth="1"/>
    <col min="9469" max="9469" width="19.28515625" style="30" customWidth="1"/>
    <col min="9470" max="9470" width="22.85546875" style="30" customWidth="1"/>
    <col min="9471" max="9471" width="4" style="30" customWidth="1"/>
    <col min="9472" max="9472" width="9.28515625" style="30" customWidth="1"/>
    <col min="9473" max="9473" width="6.42578125" style="30" customWidth="1"/>
    <col min="9474" max="9474" width="7.140625" style="30" customWidth="1"/>
    <col min="9475" max="9475" width="7.5703125" style="30" customWidth="1"/>
    <col min="9476" max="9476" width="12.42578125" style="30" customWidth="1"/>
    <col min="9477" max="9477" width="10" style="30" customWidth="1"/>
    <col min="9478" max="9478" width="10.5703125" style="30" customWidth="1"/>
    <col min="9479" max="9479" width="10.140625" style="30" customWidth="1"/>
    <col min="9480" max="9481" width="0" style="30" hidden="1" customWidth="1"/>
    <col min="9482" max="9482" width="14.140625" style="30" customWidth="1"/>
    <col min="9483" max="9483" width="12.7109375" style="30" customWidth="1"/>
    <col min="9484" max="9484" width="9.140625" style="30"/>
    <col min="9485" max="9485" width="7.5703125" style="30" customWidth="1"/>
    <col min="9486" max="9486" width="8.7109375" style="30" customWidth="1"/>
    <col min="9487" max="9723" width="9.140625" style="30"/>
    <col min="9724" max="9724" width="2.85546875" style="30" customWidth="1"/>
    <col min="9725" max="9725" width="19.28515625" style="30" customWidth="1"/>
    <col min="9726" max="9726" width="22.85546875" style="30" customWidth="1"/>
    <col min="9727" max="9727" width="4" style="30" customWidth="1"/>
    <col min="9728" max="9728" width="9.28515625" style="30" customWidth="1"/>
    <col min="9729" max="9729" width="6.42578125" style="30" customWidth="1"/>
    <col min="9730" max="9730" width="7.140625" style="30" customWidth="1"/>
    <col min="9731" max="9731" width="7.5703125" style="30" customWidth="1"/>
    <col min="9732" max="9732" width="12.42578125" style="30" customWidth="1"/>
    <col min="9733" max="9733" width="10" style="30" customWidth="1"/>
    <col min="9734" max="9734" width="10.5703125" style="30" customWidth="1"/>
    <col min="9735" max="9735" width="10.140625" style="30" customWidth="1"/>
    <col min="9736" max="9737" width="0" style="30" hidden="1" customWidth="1"/>
    <col min="9738" max="9738" width="14.140625" style="30" customWidth="1"/>
    <col min="9739" max="9739" width="12.7109375" style="30" customWidth="1"/>
    <col min="9740" max="9740" width="9.140625" style="30"/>
    <col min="9741" max="9741" width="7.5703125" style="30" customWidth="1"/>
    <col min="9742" max="9742" width="8.7109375" style="30" customWidth="1"/>
    <col min="9743" max="9979" width="9.140625" style="30"/>
    <col min="9980" max="9980" width="2.85546875" style="30" customWidth="1"/>
    <col min="9981" max="9981" width="19.28515625" style="30" customWidth="1"/>
    <col min="9982" max="9982" width="22.85546875" style="30" customWidth="1"/>
    <col min="9983" max="9983" width="4" style="30" customWidth="1"/>
    <col min="9984" max="9984" width="9.28515625" style="30" customWidth="1"/>
    <col min="9985" max="9985" width="6.42578125" style="30" customWidth="1"/>
    <col min="9986" max="9986" width="7.140625" style="30" customWidth="1"/>
    <col min="9987" max="9987" width="7.5703125" style="30" customWidth="1"/>
    <col min="9988" max="9988" width="12.42578125" style="30" customWidth="1"/>
    <col min="9989" max="9989" width="10" style="30" customWidth="1"/>
    <col min="9990" max="9990" width="10.5703125" style="30" customWidth="1"/>
    <col min="9991" max="9991" width="10.140625" style="30" customWidth="1"/>
    <col min="9992" max="9993" width="0" style="30" hidden="1" customWidth="1"/>
    <col min="9994" max="9994" width="14.140625" style="30" customWidth="1"/>
    <col min="9995" max="9995" width="12.7109375" style="30" customWidth="1"/>
    <col min="9996" max="9996" width="9.140625" style="30"/>
    <col min="9997" max="9997" width="7.5703125" style="30" customWidth="1"/>
    <col min="9998" max="9998" width="8.7109375" style="30" customWidth="1"/>
    <col min="9999" max="10235" width="9.140625" style="30"/>
    <col min="10236" max="10236" width="2.85546875" style="30" customWidth="1"/>
    <col min="10237" max="10237" width="19.28515625" style="30" customWidth="1"/>
    <col min="10238" max="10238" width="22.85546875" style="30" customWidth="1"/>
    <col min="10239" max="10239" width="4" style="30" customWidth="1"/>
    <col min="10240" max="10240" width="9.28515625" style="30" customWidth="1"/>
    <col min="10241" max="10241" width="6.42578125" style="30" customWidth="1"/>
    <col min="10242" max="10242" width="7.140625" style="30" customWidth="1"/>
    <col min="10243" max="10243" width="7.5703125" style="30" customWidth="1"/>
    <col min="10244" max="10244" width="12.42578125" style="30" customWidth="1"/>
    <col min="10245" max="10245" width="10" style="30" customWidth="1"/>
    <col min="10246" max="10246" width="10.5703125" style="30" customWidth="1"/>
    <col min="10247" max="10247" width="10.140625" style="30" customWidth="1"/>
    <col min="10248" max="10249" width="0" style="30" hidden="1" customWidth="1"/>
    <col min="10250" max="10250" width="14.140625" style="30" customWidth="1"/>
    <col min="10251" max="10251" width="12.7109375" style="30" customWidth="1"/>
    <col min="10252" max="10252" width="9.140625" style="30"/>
    <col min="10253" max="10253" width="7.5703125" style="30" customWidth="1"/>
    <col min="10254" max="10254" width="8.7109375" style="30" customWidth="1"/>
    <col min="10255" max="10491" width="9.140625" style="30"/>
    <col min="10492" max="10492" width="2.85546875" style="30" customWidth="1"/>
    <col min="10493" max="10493" width="19.28515625" style="30" customWidth="1"/>
    <col min="10494" max="10494" width="22.85546875" style="30" customWidth="1"/>
    <col min="10495" max="10495" width="4" style="30" customWidth="1"/>
    <col min="10496" max="10496" width="9.28515625" style="30" customWidth="1"/>
    <col min="10497" max="10497" width="6.42578125" style="30" customWidth="1"/>
    <col min="10498" max="10498" width="7.140625" style="30" customWidth="1"/>
    <col min="10499" max="10499" width="7.5703125" style="30" customWidth="1"/>
    <col min="10500" max="10500" width="12.42578125" style="30" customWidth="1"/>
    <col min="10501" max="10501" width="10" style="30" customWidth="1"/>
    <col min="10502" max="10502" width="10.5703125" style="30" customWidth="1"/>
    <col min="10503" max="10503" width="10.140625" style="30" customWidth="1"/>
    <col min="10504" max="10505" width="0" style="30" hidden="1" customWidth="1"/>
    <col min="10506" max="10506" width="14.140625" style="30" customWidth="1"/>
    <col min="10507" max="10507" width="12.7109375" style="30" customWidth="1"/>
    <col min="10508" max="10508" width="9.140625" style="30"/>
    <col min="10509" max="10509" width="7.5703125" style="30" customWidth="1"/>
    <col min="10510" max="10510" width="8.7109375" style="30" customWidth="1"/>
    <col min="10511" max="10747" width="9.140625" style="30"/>
    <col min="10748" max="10748" width="2.85546875" style="30" customWidth="1"/>
    <col min="10749" max="10749" width="19.28515625" style="30" customWidth="1"/>
    <col min="10750" max="10750" width="22.85546875" style="30" customWidth="1"/>
    <col min="10751" max="10751" width="4" style="30" customWidth="1"/>
    <col min="10752" max="10752" width="9.28515625" style="30" customWidth="1"/>
    <col min="10753" max="10753" width="6.42578125" style="30" customWidth="1"/>
    <col min="10754" max="10754" width="7.140625" style="30" customWidth="1"/>
    <col min="10755" max="10755" width="7.5703125" style="30" customWidth="1"/>
    <col min="10756" max="10756" width="12.42578125" style="30" customWidth="1"/>
    <col min="10757" max="10757" width="10" style="30" customWidth="1"/>
    <col min="10758" max="10758" width="10.5703125" style="30" customWidth="1"/>
    <col min="10759" max="10759" width="10.140625" style="30" customWidth="1"/>
    <col min="10760" max="10761" width="0" style="30" hidden="1" customWidth="1"/>
    <col min="10762" max="10762" width="14.140625" style="30" customWidth="1"/>
    <col min="10763" max="10763" width="12.7109375" style="30" customWidth="1"/>
    <col min="10764" max="10764" width="9.140625" style="30"/>
    <col min="10765" max="10765" width="7.5703125" style="30" customWidth="1"/>
    <col min="10766" max="10766" width="8.7109375" style="30" customWidth="1"/>
    <col min="10767" max="11003" width="9.140625" style="30"/>
    <col min="11004" max="11004" width="2.85546875" style="30" customWidth="1"/>
    <col min="11005" max="11005" width="19.28515625" style="30" customWidth="1"/>
    <col min="11006" max="11006" width="22.85546875" style="30" customWidth="1"/>
    <col min="11007" max="11007" width="4" style="30" customWidth="1"/>
    <col min="11008" max="11008" width="9.28515625" style="30" customWidth="1"/>
    <col min="11009" max="11009" width="6.42578125" style="30" customWidth="1"/>
    <col min="11010" max="11010" width="7.140625" style="30" customWidth="1"/>
    <col min="11011" max="11011" width="7.5703125" style="30" customWidth="1"/>
    <col min="11012" max="11012" width="12.42578125" style="30" customWidth="1"/>
    <col min="11013" max="11013" width="10" style="30" customWidth="1"/>
    <col min="11014" max="11014" width="10.5703125" style="30" customWidth="1"/>
    <col min="11015" max="11015" width="10.140625" style="30" customWidth="1"/>
    <col min="11016" max="11017" width="0" style="30" hidden="1" customWidth="1"/>
    <col min="11018" max="11018" width="14.140625" style="30" customWidth="1"/>
    <col min="11019" max="11019" width="12.7109375" style="30" customWidth="1"/>
    <col min="11020" max="11020" width="9.140625" style="30"/>
    <col min="11021" max="11021" width="7.5703125" style="30" customWidth="1"/>
    <col min="11022" max="11022" width="8.7109375" style="30" customWidth="1"/>
    <col min="11023" max="11259" width="9.140625" style="30"/>
    <col min="11260" max="11260" width="2.85546875" style="30" customWidth="1"/>
    <col min="11261" max="11261" width="19.28515625" style="30" customWidth="1"/>
    <col min="11262" max="11262" width="22.85546875" style="30" customWidth="1"/>
    <col min="11263" max="11263" width="4" style="30" customWidth="1"/>
    <col min="11264" max="11264" width="9.28515625" style="30" customWidth="1"/>
    <col min="11265" max="11265" width="6.42578125" style="30" customWidth="1"/>
    <col min="11266" max="11266" width="7.140625" style="30" customWidth="1"/>
    <col min="11267" max="11267" width="7.5703125" style="30" customWidth="1"/>
    <col min="11268" max="11268" width="12.42578125" style="30" customWidth="1"/>
    <col min="11269" max="11269" width="10" style="30" customWidth="1"/>
    <col min="11270" max="11270" width="10.5703125" style="30" customWidth="1"/>
    <col min="11271" max="11271" width="10.140625" style="30" customWidth="1"/>
    <col min="11272" max="11273" width="0" style="30" hidden="1" customWidth="1"/>
    <col min="11274" max="11274" width="14.140625" style="30" customWidth="1"/>
    <col min="11275" max="11275" width="12.7109375" style="30" customWidth="1"/>
    <col min="11276" max="11276" width="9.140625" style="30"/>
    <col min="11277" max="11277" width="7.5703125" style="30" customWidth="1"/>
    <col min="11278" max="11278" width="8.7109375" style="30" customWidth="1"/>
    <col min="11279" max="11515" width="9.140625" style="30"/>
    <col min="11516" max="11516" width="2.85546875" style="30" customWidth="1"/>
    <col min="11517" max="11517" width="19.28515625" style="30" customWidth="1"/>
    <col min="11518" max="11518" width="22.85546875" style="30" customWidth="1"/>
    <col min="11519" max="11519" width="4" style="30" customWidth="1"/>
    <col min="11520" max="11520" width="9.28515625" style="30" customWidth="1"/>
    <col min="11521" max="11521" width="6.42578125" style="30" customWidth="1"/>
    <col min="11522" max="11522" width="7.140625" style="30" customWidth="1"/>
    <col min="11523" max="11523" width="7.5703125" style="30" customWidth="1"/>
    <col min="11524" max="11524" width="12.42578125" style="30" customWidth="1"/>
    <col min="11525" max="11525" width="10" style="30" customWidth="1"/>
    <col min="11526" max="11526" width="10.5703125" style="30" customWidth="1"/>
    <col min="11527" max="11527" width="10.140625" style="30" customWidth="1"/>
    <col min="11528" max="11529" width="0" style="30" hidden="1" customWidth="1"/>
    <col min="11530" max="11530" width="14.140625" style="30" customWidth="1"/>
    <col min="11531" max="11531" width="12.7109375" style="30" customWidth="1"/>
    <col min="11532" max="11532" width="9.140625" style="30"/>
    <col min="11533" max="11533" width="7.5703125" style="30" customWidth="1"/>
    <col min="11534" max="11534" width="8.7109375" style="30" customWidth="1"/>
    <col min="11535" max="11771" width="9.140625" style="30"/>
    <col min="11772" max="11772" width="2.85546875" style="30" customWidth="1"/>
    <col min="11773" max="11773" width="19.28515625" style="30" customWidth="1"/>
    <col min="11774" max="11774" width="22.85546875" style="30" customWidth="1"/>
    <col min="11775" max="11775" width="4" style="30" customWidth="1"/>
    <col min="11776" max="11776" width="9.28515625" style="30" customWidth="1"/>
    <col min="11777" max="11777" width="6.42578125" style="30" customWidth="1"/>
    <col min="11778" max="11778" width="7.140625" style="30" customWidth="1"/>
    <col min="11779" max="11779" width="7.5703125" style="30" customWidth="1"/>
    <col min="11780" max="11780" width="12.42578125" style="30" customWidth="1"/>
    <col min="11781" max="11781" width="10" style="30" customWidth="1"/>
    <col min="11782" max="11782" width="10.5703125" style="30" customWidth="1"/>
    <col min="11783" max="11783" width="10.140625" style="30" customWidth="1"/>
    <col min="11784" max="11785" width="0" style="30" hidden="1" customWidth="1"/>
    <col min="11786" max="11786" width="14.140625" style="30" customWidth="1"/>
    <col min="11787" max="11787" width="12.7109375" style="30" customWidth="1"/>
    <col min="11788" max="11788" width="9.140625" style="30"/>
    <col min="11789" max="11789" width="7.5703125" style="30" customWidth="1"/>
    <col min="11790" max="11790" width="8.7109375" style="30" customWidth="1"/>
    <col min="11791" max="12027" width="9.140625" style="30"/>
    <col min="12028" max="12028" width="2.85546875" style="30" customWidth="1"/>
    <col min="12029" max="12029" width="19.28515625" style="30" customWidth="1"/>
    <col min="12030" max="12030" width="22.85546875" style="30" customWidth="1"/>
    <col min="12031" max="12031" width="4" style="30" customWidth="1"/>
    <col min="12032" max="12032" width="9.28515625" style="30" customWidth="1"/>
    <col min="12033" max="12033" width="6.42578125" style="30" customWidth="1"/>
    <col min="12034" max="12034" width="7.140625" style="30" customWidth="1"/>
    <col min="12035" max="12035" width="7.5703125" style="30" customWidth="1"/>
    <col min="12036" max="12036" width="12.42578125" style="30" customWidth="1"/>
    <col min="12037" max="12037" width="10" style="30" customWidth="1"/>
    <col min="12038" max="12038" width="10.5703125" style="30" customWidth="1"/>
    <col min="12039" max="12039" width="10.140625" style="30" customWidth="1"/>
    <col min="12040" max="12041" width="0" style="30" hidden="1" customWidth="1"/>
    <col min="12042" max="12042" width="14.140625" style="30" customWidth="1"/>
    <col min="12043" max="12043" width="12.7109375" style="30" customWidth="1"/>
    <col min="12044" max="12044" width="9.140625" style="30"/>
    <col min="12045" max="12045" width="7.5703125" style="30" customWidth="1"/>
    <col min="12046" max="12046" width="8.7109375" style="30" customWidth="1"/>
    <col min="12047" max="12283" width="9.140625" style="30"/>
    <col min="12284" max="12284" width="2.85546875" style="30" customWidth="1"/>
    <col min="12285" max="12285" width="19.28515625" style="30" customWidth="1"/>
    <col min="12286" max="12286" width="22.85546875" style="30" customWidth="1"/>
    <col min="12287" max="12287" width="4" style="30" customWidth="1"/>
    <col min="12288" max="12288" width="9.28515625" style="30" customWidth="1"/>
    <col min="12289" max="12289" width="6.42578125" style="30" customWidth="1"/>
    <col min="12290" max="12290" width="7.140625" style="30" customWidth="1"/>
    <col min="12291" max="12291" width="7.5703125" style="30" customWidth="1"/>
    <col min="12292" max="12292" width="12.42578125" style="30" customWidth="1"/>
    <col min="12293" max="12293" width="10" style="30" customWidth="1"/>
    <col min="12294" max="12294" width="10.5703125" style="30" customWidth="1"/>
    <col min="12295" max="12295" width="10.140625" style="30" customWidth="1"/>
    <col min="12296" max="12297" width="0" style="30" hidden="1" customWidth="1"/>
    <col min="12298" max="12298" width="14.140625" style="30" customWidth="1"/>
    <col min="12299" max="12299" width="12.7109375" style="30" customWidth="1"/>
    <col min="12300" max="12300" width="9.140625" style="30"/>
    <col min="12301" max="12301" width="7.5703125" style="30" customWidth="1"/>
    <col min="12302" max="12302" width="8.7109375" style="30" customWidth="1"/>
    <col min="12303" max="12539" width="9.140625" style="30"/>
    <col min="12540" max="12540" width="2.85546875" style="30" customWidth="1"/>
    <col min="12541" max="12541" width="19.28515625" style="30" customWidth="1"/>
    <col min="12542" max="12542" width="22.85546875" style="30" customWidth="1"/>
    <col min="12543" max="12543" width="4" style="30" customWidth="1"/>
    <col min="12544" max="12544" width="9.28515625" style="30" customWidth="1"/>
    <col min="12545" max="12545" width="6.42578125" style="30" customWidth="1"/>
    <col min="12546" max="12546" width="7.140625" style="30" customWidth="1"/>
    <col min="12547" max="12547" width="7.5703125" style="30" customWidth="1"/>
    <col min="12548" max="12548" width="12.42578125" style="30" customWidth="1"/>
    <col min="12549" max="12549" width="10" style="30" customWidth="1"/>
    <col min="12550" max="12550" width="10.5703125" style="30" customWidth="1"/>
    <col min="12551" max="12551" width="10.140625" style="30" customWidth="1"/>
    <col min="12552" max="12553" width="0" style="30" hidden="1" customWidth="1"/>
    <col min="12554" max="12554" width="14.140625" style="30" customWidth="1"/>
    <col min="12555" max="12555" width="12.7109375" style="30" customWidth="1"/>
    <col min="12556" max="12556" width="9.140625" style="30"/>
    <col min="12557" max="12557" width="7.5703125" style="30" customWidth="1"/>
    <col min="12558" max="12558" width="8.7109375" style="30" customWidth="1"/>
    <col min="12559" max="12795" width="9.140625" style="30"/>
    <col min="12796" max="12796" width="2.85546875" style="30" customWidth="1"/>
    <col min="12797" max="12797" width="19.28515625" style="30" customWidth="1"/>
    <col min="12798" max="12798" width="22.85546875" style="30" customWidth="1"/>
    <col min="12799" max="12799" width="4" style="30" customWidth="1"/>
    <col min="12800" max="12800" width="9.28515625" style="30" customWidth="1"/>
    <col min="12801" max="12801" width="6.42578125" style="30" customWidth="1"/>
    <col min="12802" max="12802" width="7.140625" style="30" customWidth="1"/>
    <col min="12803" max="12803" width="7.5703125" style="30" customWidth="1"/>
    <col min="12804" max="12804" width="12.42578125" style="30" customWidth="1"/>
    <col min="12805" max="12805" width="10" style="30" customWidth="1"/>
    <col min="12806" max="12806" width="10.5703125" style="30" customWidth="1"/>
    <col min="12807" max="12807" width="10.140625" style="30" customWidth="1"/>
    <col min="12808" max="12809" width="0" style="30" hidden="1" customWidth="1"/>
    <col min="12810" max="12810" width="14.140625" style="30" customWidth="1"/>
    <col min="12811" max="12811" width="12.7109375" style="30" customWidth="1"/>
    <col min="12812" max="12812" width="9.140625" style="30"/>
    <col min="12813" max="12813" width="7.5703125" style="30" customWidth="1"/>
    <col min="12814" max="12814" width="8.7109375" style="30" customWidth="1"/>
    <col min="12815" max="13051" width="9.140625" style="30"/>
    <col min="13052" max="13052" width="2.85546875" style="30" customWidth="1"/>
    <col min="13053" max="13053" width="19.28515625" style="30" customWidth="1"/>
    <col min="13054" max="13054" width="22.85546875" style="30" customWidth="1"/>
    <col min="13055" max="13055" width="4" style="30" customWidth="1"/>
    <col min="13056" max="13056" width="9.28515625" style="30" customWidth="1"/>
    <col min="13057" max="13057" width="6.42578125" style="30" customWidth="1"/>
    <col min="13058" max="13058" width="7.140625" style="30" customWidth="1"/>
    <col min="13059" max="13059" width="7.5703125" style="30" customWidth="1"/>
    <col min="13060" max="13060" width="12.42578125" style="30" customWidth="1"/>
    <col min="13061" max="13061" width="10" style="30" customWidth="1"/>
    <col min="13062" max="13062" width="10.5703125" style="30" customWidth="1"/>
    <col min="13063" max="13063" width="10.140625" style="30" customWidth="1"/>
    <col min="13064" max="13065" width="0" style="30" hidden="1" customWidth="1"/>
    <col min="13066" max="13066" width="14.140625" style="30" customWidth="1"/>
    <col min="13067" max="13067" width="12.7109375" style="30" customWidth="1"/>
    <col min="13068" max="13068" width="9.140625" style="30"/>
    <col min="13069" max="13069" width="7.5703125" style="30" customWidth="1"/>
    <col min="13070" max="13070" width="8.7109375" style="30" customWidth="1"/>
    <col min="13071" max="13307" width="9.140625" style="30"/>
    <col min="13308" max="13308" width="2.85546875" style="30" customWidth="1"/>
    <col min="13309" max="13309" width="19.28515625" style="30" customWidth="1"/>
    <col min="13310" max="13310" width="22.85546875" style="30" customWidth="1"/>
    <col min="13311" max="13311" width="4" style="30" customWidth="1"/>
    <col min="13312" max="13312" width="9.28515625" style="30" customWidth="1"/>
    <col min="13313" max="13313" width="6.42578125" style="30" customWidth="1"/>
    <col min="13314" max="13314" width="7.140625" style="30" customWidth="1"/>
    <col min="13315" max="13315" width="7.5703125" style="30" customWidth="1"/>
    <col min="13316" max="13316" width="12.42578125" style="30" customWidth="1"/>
    <col min="13317" max="13317" width="10" style="30" customWidth="1"/>
    <col min="13318" max="13318" width="10.5703125" style="30" customWidth="1"/>
    <col min="13319" max="13319" width="10.140625" style="30" customWidth="1"/>
    <col min="13320" max="13321" width="0" style="30" hidden="1" customWidth="1"/>
    <col min="13322" max="13322" width="14.140625" style="30" customWidth="1"/>
    <col min="13323" max="13323" width="12.7109375" style="30" customWidth="1"/>
    <col min="13324" max="13324" width="9.140625" style="30"/>
    <col min="13325" max="13325" width="7.5703125" style="30" customWidth="1"/>
    <col min="13326" max="13326" width="8.7109375" style="30" customWidth="1"/>
    <col min="13327" max="13563" width="9.140625" style="30"/>
    <col min="13564" max="13564" width="2.85546875" style="30" customWidth="1"/>
    <col min="13565" max="13565" width="19.28515625" style="30" customWidth="1"/>
    <col min="13566" max="13566" width="22.85546875" style="30" customWidth="1"/>
    <col min="13567" max="13567" width="4" style="30" customWidth="1"/>
    <col min="13568" max="13568" width="9.28515625" style="30" customWidth="1"/>
    <col min="13569" max="13569" width="6.42578125" style="30" customWidth="1"/>
    <col min="13570" max="13570" width="7.140625" style="30" customWidth="1"/>
    <col min="13571" max="13571" width="7.5703125" style="30" customWidth="1"/>
    <col min="13572" max="13572" width="12.42578125" style="30" customWidth="1"/>
    <col min="13573" max="13573" width="10" style="30" customWidth="1"/>
    <col min="13574" max="13574" width="10.5703125" style="30" customWidth="1"/>
    <col min="13575" max="13575" width="10.140625" style="30" customWidth="1"/>
    <col min="13576" max="13577" width="0" style="30" hidden="1" customWidth="1"/>
    <col min="13578" max="13578" width="14.140625" style="30" customWidth="1"/>
    <col min="13579" max="13579" width="12.7109375" style="30" customWidth="1"/>
    <col min="13580" max="13580" width="9.140625" style="30"/>
    <col min="13581" max="13581" width="7.5703125" style="30" customWidth="1"/>
    <col min="13582" max="13582" width="8.7109375" style="30" customWidth="1"/>
    <col min="13583" max="13819" width="9.140625" style="30"/>
    <col min="13820" max="13820" width="2.85546875" style="30" customWidth="1"/>
    <col min="13821" max="13821" width="19.28515625" style="30" customWidth="1"/>
    <col min="13822" max="13822" width="22.85546875" style="30" customWidth="1"/>
    <col min="13823" max="13823" width="4" style="30" customWidth="1"/>
    <col min="13824" max="13824" width="9.28515625" style="30" customWidth="1"/>
    <col min="13825" max="13825" width="6.42578125" style="30" customWidth="1"/>
    <col min="13826" max="13826" width="7.140625" style="30" customWidth="1"/>
    <col min="13827" max="13827" width="7.5703125" style="30" customWidth="1"/>
    <col min="13828" max="13828" width="12.42578125" style="30" customWidth="1"/>
    <col min="13829" max="13829" width="10" style="30" customWidth="1"/>
    <col min="13830" max="13830" width="10.5703125" style="30" customWidth="1"/>
    <col min="13831" max="13831" width="10.140625" style="30" customWidth="1"/>
    <col min="13832" max="13833" width="0" style="30" hidden="1" customWidth="1"/>
    <col min="13834" max="13834" width="14.140625" style="30" customWidth="1"/>
    <col min="13835" max="13835" width="12.7109375" style="30" customWidth="1"/>
    <col min="13836" max="13836" width="9.140625" style="30"/>
    <col min="13837" max="13837" width="7.5703125" style="30" customWidth="1"/>
    <col min="13838" max="13838" width="8.7109375" style="30" customWidth="1"/>
    <col min="13839" max="14075" width="9.140625" style="30"/>
    <col min="14076" max="14076" width="2.85546875" style="30" customWidth="1"/>
    <col min="14077" max="14077" width="19.28515625" style="30" customWidth="1"/>
    <col min="14078" max="14078" width="22.85546875" style="30" customWidth="1"/>
    <col min="14079" max="14079" width="4" style="30" customWidth="1"/>
    <col min="14080" max="14080" width="9.28515625" style="30" customWidth="1"/>
    <col min="14081" max="14081" width="6.42578125" style="30" customWidth="1"/>
    <col min="14082" max="14082" width="7.140625" style="30" customWidth="1"/>
    <col min="14083" max="14083" width="7.5703125" style="30" customWidth="1"/>
    <col min="14084" max="14084" width="12.42578125" style="30" customWidth="1"/>
    <col min="14085" max="14085" width="10" style="30" customWidth="1"/>
    <col min="14086" max="14086" width="10.5703125" style="30" customWidth="1"/>
    <col min="14087" max="14087" width="10.140625" style="30" customWidth="1"/>
    <col min="14088" max="14089" width="0" style="30" hidden="1" customWidth="1"/>
    <col min="14090" max="14090" width="14.140625" style="30" customWidth="1"/>
    <col min="14091" max="14091" width="12.7109375" style="30" customWidth="1"/>
    <col min="14092" max="14092" width="9.140625" style="30"/>
    <col min="14093" max="14093" width="7.5703125" style="30" customWidth="1"/>
    <col min="14094" max="14094" width="8.7109375" style="30" customWidth="1"/>
    <col min="14095" max="14331" width="9.140625" style="30"/>
    <col min="14332" max="14332" width="2.85546875" style="30" customWidth="1"/>
    <col min="14333" max="14333" width="19.28515625" style="30" customWidth="1"/>
    <col min="14334" max="14334" width="22.85546875" style="30" customWidth="1"/>
    <col min="14335" max="14335" width="4" style="30" customWidth="1"/>
    <col min="14336" max="14336" width="9.28515625" style="30" customWidth="1"/>
    <col min="14337" max="14337" width="6.42578125" style="30" customWidth="1"/>
    <col min="14338" max="14338" width="7.140625" style="30" customWidth="1"/>
    <col min="14339" max="14339" width="7.5703125" style="30" customWidth="1"/>
    <col min="14340" max="14340" width="12.42578125" style="30" customWidth="1"/>
    <col min="14341" max="14341" width="10" style="30" customWidth="1"/>
    <col min="14342" max="14342" width="10.5703125" style="30" customWidth="1"/>
    <col min="14343" max="14343" width="10.140625" style="30" customWidth="1"/>
    <col min="14344" max="14345" width="0" style="30" hidden="1" customWidth="1"/>
    <col min="14346" max="14346" width="14.140625" style="30" customWidth="1"/>
    <col min="14347" max="14347" width="12.7109375" style="30" customWidth="1"/>
    <col min="14348" max="14348" width="9.140625" style="30"/>
    <col min="14349" max="14349" width="7.5703125" style="30" customWidth="1"/>
    <col min="14350" max="14350" width="8.7109375" style="30" customWidth="1"/>
    <col min="14351" max="14587" width="9.140625" style="30"/>
    <col min="14588" max="14588" width="2.85546875" style="30" customWidth="1"/>
    <col min="14589" max="14589" width="19.28515625" style="30" customWidth="1"/>
    <col min="14590" max="14590" width="22.85546875" style="30" customWidth="1"/>
    <col min="14591" max="14591" width="4" style="30" customWidth="1"/>
    <col min="14592" max="14592" width="9.28515625" style="30" customWidth="1"/>
    <col min="14593" max="14593" width="6.42578125" style="30" customWidth="1"/>
    <col min="14594" max="14594" width="7.140625" style="30" customWidth="1"/>
    <col min="14595" max="14595" width="7.5703125" style="30" customWidth="1"/>
    <col min="14596" max="14596" width="12.42578125" style="30" customWidth="1"/>
    <col min="14597" max="14597" width="10" style="30" customWidth="1"/>
    <col min="14598" max="14598" width="10.5703125" style="30" customWidth="1"/>
    <col min="14599" max="14599" width="10.140625" style="30" customWidth="1"/>
    <col min="14600" max="14601" width="0" style="30" hidden="1" customWidth="1"/>
    <col min="14602" max="14602" width="14.140625" style="30" customWidth="1"/>
    <col min="14603" max="14603" width="12.7109375" style="30" customWidth="1"/>
    <col min="14604" max="14604" width="9.140625" style="30"/>
    <col min="14605" max="14605" width="7.5703125" style="30" customWidth="1"/>
    <col min="14606" max="14606" width="8.7109375" style="30" customWidth="1"/>
    <col min="14607" max="14843" width="9.140625" style="30"/>
    <col min="14844" max="14844" width="2.85546875" style="30" customWidth="1"/>
    <col min="14845" max="14845" width="19.28515625" style="30" customWidth="1"/>
    <col min="14846" max="14846" width="22.85546875" style="30" customWidth="1"/>
    <col min="14847" max="14847" width="4" style="30" customWidth="1"/>
    <col min="14848" max="14848" width="9.28515625" style="30" customWidth="1"/>
    <col min="14849" max="14849" width="6.42578125" style="30" customWidth="1"/>
    <col min="14850" max="14850" width="7.140625" style="30" customWidth="1"/>
    <col min="14851" max="14851" width="7.5703125" style="30" customWidth="1"/>
    <col min="14852" max="14852" width="12.42578125" style="30" customWidth="1"/>
    <col min="14853" max="14853" width="10" style="30" customWidth="1"/>
    <col min="14854" max="14854" width="10.5703125" style="30" customWidth="1"/>
    <col min="14855" max="14855" width="10.140625" style="30" customWidth="1"/>
    <col min="14856" max="14857" width="0" style="30" hidden="1" customWidth="1"/>
    <col min="14858" max="14858" width="14.140625" style="30" customWidth="1"/>
    <col min="14859" max="14859" width="12.7109375" style="30" customWidth="1"/>
    <col min="14860" max="14860" width="9.140625" style="30"/>
    <col min="14861" max="14861" width="7.5703125" style="30" customWidth="1"/>
    <col min="14862" max="14862" width="8.7109375" style="30" customWidth="1"/>
    <col min="14863" max="15099" width="9.140625" style="30"/>
    <col min="15100" max="15100" width="2.85546875" style="30" customWidth="1"/>
    <col min="15101" max="15101" width="19.28515625" style="30" customWidth="1"/>
    <col min="15102" max="15102" width="22.85546875" style="30" customWidth="1"/>
    <col min="15103" max="15103" width="4" style="30" customWidth="1"/>
    <col min="15104" max="15104" width="9.28515625" style="30" customWidth="1"/>
    <col min="15105" max="15105" width="6.42578125" style="30" customWidth="1"/>
    <col min="15106" max="15106" width="7.140625" style="30" customWidth="1"/>
    <col min="15107" max="15107" width="7.5703125" style="30" customWidth="1"/>
    <col min="15108" max="15108" width="12.42578125" style="30" customWidth="1"/>
    <col min="15109" max="15109" width="10" style="30" customWidth="1"/>
    <col min="15110" max="15110" width="10.5703125" style="30" customWidth="1"/>
    <col min="15111" max="15111" width="10.140625" style="30" customWidth="1"/>
    <col min="15112" max="15113" width="0" style="30" hidden="1" customWidth="1"/>
    <col min="15114" max="15114" width="14.140625" style="30" customWidth="1"/>
    <col min="15115" max="15115" width="12.7109375" style="30" customWidth="1"/>
    <col min="15116" max="15116" width="9.140625" style="30"/>
    <col min="15117" max="15117" width="7.5703125" style="30" customWidth="1"/>
    <col min="15118" max="15118" width="8.7109375" style="30" customWidth="1"/>
    <col min="15119" max="15355" width="9.140625" style="30"/>
    <col min="15356" max="15356" width="2.85546875" style="30" customWidth="1"/>
    <col min="15357" max="15357" width="19.28515625" style="30" customWidth="1"/>
    <col min="15358" max="15358" width="22.85546875" style="30" customWidth="1"/>
    <col min="15359" max="15359" width="4" style="30" customWidth="1"/>
    <col min="15360" max="15360" width="9.28515625" style="30" customWidth="1"/>
    <col min="15361" max="15361" width="6.42578125" style="30" customWidth="1"/>
    <col min="15362" max="15362" width="7.140625" style="30" customWidth="1"/>
    <col min="15363" max="15363" width="7.5703125" style="30" customWidth="1"/>
    <col min="15364" max="15364" width="12.42578125" style="30" customWidth="1"/>
    <col min="15365" max="15365" width="10" style="30" customWidth="1"/>
    <col min="15366" max="15366" width="10.5703125" style="30" customWidth="1"/>
    <col min="15367" max="15367" width="10.140625" style="30" customWidth="1"/>
    <col min="15368" max="15369" width="0" style="30" hidden="1" customWidth="1"/>
    <col min="15370" max="15370" width="14.140625" style="30" customWidth="1"/>
    <col min="15371" max="15371" width="12.7109375" style="30" customWidth="1"/>
    <col min="15372" max="15372" width="9.140625" style="30"/>
    <col min="15373" max="15373" width="7.5703125" style="30" customWidth="1"/>
    <col min="15374" max="15374" width="8.7109375" style="30" customWidth="1"/>
    <col min="15375" max="15611" width="9.140625" style="30"/>
    <col min="15612" max="15612" width="2.85546875" style="30" customWidth="1"/>
    <col min="15613" max="15613" width="19.28515625" style="30" customWidth="1"/>
    <col min="15614" max="15614" width="22.85546875" style="30" customWidth="1"/>
    <col min="15615" max="15615" width="4" style="30" customWidth="1"/>
    <col min="15616" max="15616" width="9.28515625" style="30" customWidth="1"/>
    <col min="15617" max="15617" width="6.42578125" style="30" customWidth="1"/>
    <col min="15618" max="15618" width="7.140625" style="30" customWidth="1"/>
    <col min="15619" max="15619" width="7.5703125" style="30" customWidth="1"/>
    <col min="15620" max="15620" width="12.42578125" style="30" customWidth="1"/>
    <col min="15621" max="15621" width="10" style="30" customWidth="1"/>
    <col min="15622" max="15622" width="10.5703125" style="30" customWidth="1"/>
    <col min="15623" max="15623" width="10.140625" style="30" customWidth="1"/>
    <col min="15624" max="15625" width="0" style="30" hidden="1" customWidth="1"/>
    <col min="15626" max="15626" width="14.140625" style="30" customWidth="1"/>
    <col min="15627" max="15627" width="12.7109375" style="30" customWidth="1"/>
    <col min="15628" max="15628" width="9.140625" style="30"/>
    <col min="15629" max="15629" width="7.5703125" style="30" customWidth="1"/>
    <col min="15630" max="15630" width="8.7109375" style="30" customWidth="1"/>
    <col min="15631" max="15867" width="9.140625" style="30"/>
    <col min="15868" max="15868" width="2.85546875" style="30" customWidth="1"/>
    <col min="15869" max="15869" width="19.28515625" style="30" customWidth="1"/>
    <col min="15870" max="15870" width="22.85546875" style="30" customWidth="1"/>
    <col min="15871" max="15871" width="4" style="30" customWidth="1"/>
    <col min="15872" max="15872" width="9.28515625" style="30" customWidth="1"/>
    <col min="15873" max="15873" width="6.42578125" style="30" customWidth="1"/>
    <col min="15874" max="15874" width="7.140625" style="30" customWidth="1"/>
    <col min="15875" max="15875" width="7.5703125" style="30" customWidth="1"/>
    <col min="15876" max="15876" width="12.42578125" style="30" customWidth="1"/>
    <col min="15877" max="15877" width="10" style="30" customWidth="1"/>
    <col min="15878" max="15878" width="10.5703125" style="30" customWidth="1"/>
    <col min="15879" max="15879" width="10.140625" style="30" customWidth="1"/>
    <col min="15880" max="15881" width="0" style="30" hidden="1" customWidth="1"/>
    <col min="15882" max="15882" width="14.140625" style="30" customWidth="1"/>
    <col min="15883" max="15883" width="12.7109375" style="30" customWidth="1"/>
    <col min="15884" max="15884" width="9.140625" style="30"/>
    <col min="15885" max="15885" width="7.5703125" style="30" customWidth="1"/>
    <col min="15886" max="15886" width="8.7109375" style="30" customWidth="1"/>
    <col min="15887" max="16123" width="9.140625" style="30"/>
    <col min="16124" max="16124" width="2.85546875" style="30" customWidth="1"/>
    <col min="16125" max="16125" width="19.28515625" style="30" customWidth="1"/>
    <col min="16126" max="16126" width="22.85546875" style="30" customWidth="1"/>
    <col min="16127" max="16127" width="4" style="30" customWidth="1"/>
    <col min="16128" max="16128" width="9.28515625" style="30" customWidth="1"/>
    <col min="16129" max="16129" width="6.42578125" style="30" customWidth="1"/>
    <col min="16130" max="16130" width="7.140625" style="30" customWidth="1"/>
    <col min="16131" max="16131" width="7.5703125" style="30" customWidth="1"/>
    <col min="16132" max="16132" width="12.42578125" style="30" customWidth="1"/>
    <col min="16133" max="16133" width="10" style="30" customWidth="1"/>
    <col min="16134" max="16134" width="10.5703125" style="30" customWidth="1"/>
    <col min="16135" max="16135" width="10.140625" style="30" customWidth="1"/>
    <col min="16136" max="16137" width="0" style="30" hidden="1" customWidth="1"/>
    <col min="16138" max="16138" width="14.140625" style="30" customWidth="1"/>
    <col min="16139" max="16139" width="12.7109375" style="30" customWidth="1"/>
    <col min="16140" max="16140" width="9.140625" style="30"/>
    <col min="16141" max="16141" width="7.5703125" style="30" customWidth="1"/>
    <col min="16142" max="16142" width="8.7109375" style="30" customWidth="1"/>
    <col min="16143" max="16384" width="9.140625" style="30"/>
  </cols>
  <sheetData>
    <row r="1" spans="1:50" ht="15">
      <c r="A1" s="62"/>
      <c r="B1" s="62"/>
      <c r="C1" s="399" t="s">
        <v>270</v>
      </c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63"/>
      <c r="O1" s="62"/>
      <c r="P1" s="378"/>
      <c r="Q1" s="378"/>
      <c r="R1" s="62"/>
      <c r="S1" s="62"/>
      <c r="T1" s="64"/>
      <c r="U1" s="64"/>
      <c r="V1" s="64"/>
      <c r="W1" s="481"/>
      <c r="X1" s="481"/>
      <c r="Y1" s="481"/>
      <c r="Z1" s="481"/>
      <c r="AA1" s="481"/>
    </row>
    <row r="2" spans="1:50" ht="15">
      <c r="A2" s="62"/>
      <c r="B2" s="62"/>
      <c r="C2" s="401" t="s">
        <v>271</v>
      </c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63"/>
      <c r="O2" s="62"/>
      <c r="P2" s="378"/>
      <c r="Q2" s="378"/>
      <c r="R2" s="62"/>
      <c r="S2" s="62"/>
      <c r="T2" s="64"/>
      <c r="U2" s="64"/>
      <c r="V2" s="64"/>
      <c r="W2" s="481"/>
      <c r="X2" s="481"/>
      <c r="Y2" s="481"/>
      <c r="Z2" s="481"/>
      <c r="AA2" s="481"/>
    </row>
    <row r="3" spans="1:50" ht="15.75" customHeight="1">
      <c r="A3" s="62"/>
      <c r="B3" s="62"/>
      <c r="C3" s="399" t="s">
        <v>290</v>
      </c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63"/>
      <c r="O3" s="62"/>
      <c r="P3" s="378"/>
      <c r="Q3" s="378"/>
      <c r="R3" s="62"/>
      <c r="S3" s="62"/>
      <c r="T3" s="64"/>
      <c r="U3" s="64"/>
      <c r="V3" s="64"/>
      <c r="W3" s="481"/>
      <c r="X3" s="481"/>
      <c r="Y3" s="481"/>
      <c r="Z3" s="481"/>
      <c r="AA3" s="481"/>
    </row>
    <row r="4" spans="1:50" ht="15.75" customHeight="1">
      <c r="A4" s="62"/>
      <c r="B4" s="62"/>
      <c r="C4" s="399" t="s">
        <v>272</v>
      </c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63"/>
      <c r="O4" s="62"/>
      <c r="P4" s="378"/>
      <c r="Q4" s="378"/>
      <c r="R4" s="62"/>
      <c r="S4" s="62"/>
      <c r="T4" s="64"/>
      <c r="U4" s="64"/>
      <c r="V4" s="64"/>
      <c r="W4" s="481"/>
      <c r="X4" s="481"/>
      <c r="Y4" s="481"/>
      <c r="Z4" s="481"/>
      <c r="AA4" s="481"/>
    </row>
    <row r="5" spans="1:50" s="132" customFormat="1" ht="31.5" customHeight="1">
      <c r="A5" s="412" t="s">
        <v>9</v>
      </c>
      <c r="B5" s="403" t="s">
        <v>273</v>
      </c>
      <c r="C5" s="403" t="s">
        <v>274</v>
      </c>
      <c r="D5" s="403" t="s">
        <v>188</v>
      </c>
      <c r="E5" s="415" t="s">
        <v>275</v>
      </c>
      <c r="F5" s="414"/>
      <c r="G5" s="414"/>
      <c r="H5" s="403" t="s">
        <v>276</v>
      </c>
      <c r="I5" s="403" t="s">
        <v>277</v>
      </c>
      <c r="J5" s="405" t="s">
        <v>278</v>
      </c>
      <c r="K5" s="404"/>
      <c r="L5" s="404"/>
      <c r="M5" s="404"/>
      <c r="N5" s="406" t="s">
        <v>279</v>
      </c>
      <c r="O5" s="408" t="s">
        <v>13</v>
      </c>
      <c r="P5" s="408" t="s">
        <v>14</v>
      </c>
      <c r="Q5" s="410" t="s">
        <v>543</v>
      </c>
      <c r="R5" s="398"/>
      <c r="S5" s="398"/>
      <c r="T5" s="131"/>
      <c r="U5" s="131"/>
      <c r="V5" s="131"/>
      <c r="W5" s="483"/>
      <c r="X5" s="483"/>
      <c r="Y5" s="483"/>
      <c r="Z5" s="483"/>
      <c r="AA5" s="483"/>
      <c r="AB5" s="484"/>
      <c r="AC5" s="484"/>
      <c r="AD5" s="484"/>
      <c r="AE5" s="484"/>
      <c r="AF5" s="484"/>
      <c r="AG5" s="484"/>
      <c r="AH5" s="484"/>
      <c r="AI5" s="484"/>
      <c r="AJ5" s="484"/>
      <c r="AK5" s="484"/>
      <c r="AL5" s="484"/>
      <c r="AM5" s="484"/>
      <c r="AN5" s="484"/>
      <c r="AO5" s="484"/>
      <c r="AP5" s="484"/>
      <c r="AQ5" s="484"/>
      <c r="AR5" s="484"/>
      <c r="AS5" s="484"/>
      <c r="AT5" s="484"/>
      <c r="AU5" s="484"/>
      <c r="AV5" s="484"/>
      <c r="AW5" s="484"/>
      <c r="AX5" s="484"/>
    </row>
    <row r="6" spans="1:50" s="138" customFormat="1" ht="50.25" customHeight="1">
      <c r="A6" s="404"/>
      <c r="B6" s="413"/>
      <c r="C6" s="414"/>
      <c r="D6" s="405"/>
      <c r="E6" s="133" t="s">
        <v>191</v>
      </c>
      <c r="F6" s="134" t="s">
        <v>280</v>
      </c>
      <c r="G6" s="133" t="s">
        <v>8</v>
      </c>
      <c r="H6" s="404"/>
      <c r="I6" s="403"/>
      <c r="J6" s="207" t="s">
        <v>281</v>
      </c>
      <c r="K6" s="207" t="s">
        <v>282</v>
      </c>
      <c r="L6" s="207" t="s">
        <v>283</v>
      </c>
      <c r="M6" s="135"/>
      <c r="N6" s="407"/>
      <c r="O6" s="409"/>
      <c r="P6" s="409"/>
      <c r="Q6" s="411"/>
      <c r="R6" s="136"/>
      <c r="S6" s="137"/>
      <c r="T6" s="136"/>
      <c r="U6" s="136"/>
      <c r="V6" s="136"/>
      <c r="W6" s="485"/>
      <c r="X6" s="485"/>
      <c r="Y6" s="485"/>
      <c r="Z6" s="485"/>
      <c r="AA6" s="485"/>
      <c r="AB6" s="486"/>
      <c r="AC6" s="486"/>
      <c r="AD6" s="486"/>
      <c r="AE6" s="486"/>
      <c r="AF6" s="486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486"/>
      <c r="AS6" s="486"/>
      <c r="AT6" s="486"/>
      <c r="AU6" s="486"/>
      <c r="AV6" s="486"/>
      <c r="AW6" s="486"/>
      <c r="AX6" s="486"/>
    </row>
    <row r="7" spans="1:50" s="149" customFormat="1" ht="14.25" customHeight="1">
      <c r="A7" s="391">
        <v>1</v>
      </c>
      <c r="B7" s="388" t="str">
        <f>[1]ТОиРГЭО!C16</f>
        <v>0707000 Техническое обслуживание и ремонт горного электромеханического оборудования</v>
      </c>
      <c r="C7" s="195" t="str">
        <f>ТОиРГЭО!B16</f>
        <v>Д-19-11-ТО и РГЭО</v>
      </c>
      <c r="D7" s="147">
        <f>ТОиРГЭО!T11</f>
        <v>1</v>
      </c>
      <c r="E7" s="147">
        <f>ТОиРГЭО!T13</f>
        <v>0</v>
      </c>
      <c r="F7" s="147">
        <f>ТОиРГЭО!T12</f>
        <v>23</v>
      </c>
      <c r="G7" s="147">
        <f t="shared" ref="G7:G13" si="0">SUM(E7:F7)</f>
        <v>23</v>
      </c>
      <c r="H7" s="153">
        <f>ТОиРГЭО!K36</f>
        <v>160.19999999999999</v>
      </c>
      <c r="I7" s="152">
        <f>ТОиРГЭО!L36</f>
        <v>194571</v>
      </c>
      <c r="J7" s="152">
        <f>ТОиРГЭО!Q36</f>
        <v>339</v>
      </c>
      <c r="K7" s="147">
        <f>ТОиРГЭО!M36</f>
        <v>4424</v>
      </c>
      <c r="L7" s="147">
        <f>ТОиРГЭО!N36</f>
        <v>0</v>
      </c>
      <c r="M7" s="147">
        <f>[2]АиУ!Q65</f>
        <v>0</v>
      </c>
      <c r="N7" s="152">
        <f>ТОиРГЭО!U36</f>
        <v>19455</v>
      </c>
      <c r="O7" s="152">
        <f>ТОиРГЭО!V36</f>
        <v>218789</v>
      </c>
      <c r="P7" s="152">
        <v>0</v>
      </c>
      <c r="Q7" s="152">
        <f>O7</f>
        <v>218789</v>
      </c>
      <c r="R7" s="144"/>
      <c r="S7" s="196"/>
      <c r="T7" s="144"/>
      <c r="U7" s="144"/>
      <c r="V7" s="144"/>
      <c r="W7" s="143"/>
      <c r="X7" s="143"/>
      <c r="Y7" s="143"/>
      <c r="Z7" s="143"/>
      <c r="AA7" s="143"/>
      <c r="AB7" s="487"/>
      <c r="AC7" s="487"/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7"/>
      <c r="AO7" s="487"/>
      <c r="AP7" s="487"/>
      <c r="AQ7" s="487"/>
      <c r="AR7" s="487"/>
      <c r="AS7" s="487"/>
      <c r="AT7" s="487"/>
      <c r="AU7" s="487"/>
      <c r="AV7" s="487"/>
      <c r="AW7" s="487"/>
      <c r="AX7" s="487"/>
    </row>
    <row r="8" spans="1:50" s="149" customFormat="1" ht="14.25" customHeight="1">
      <c r="A8" s="392"/>
      <c r="B8" s="389"/>
      <c r="C8" s="146" t="str">
        <f>ТОиРГЭО!B60</f>
        <v>Д-19-ТО и РГЭО-1</v>
      </c>
      <c r="D8" s="147">
        <f>ТОиРГЭО!T55</f>
        <v>1</v>
      </c>
      <c r="E8" s="147">
        <f>ТОиРГЭО!T57</f>
        <v>25</v>
      </c>
      <c r="F8" s="147">
        <f>ТОиРГЭО!T58</f>
        <v>0</v>
      </c>
      <c r="G8" s="147">
        <f t="shared" si="0"/>
        <v>25</v>
      </c>
      <c r="H8" s="153">
        <f>ТОиРГЭО!K83</f>
        <v>198.6</v>
      </c>
      <c r="I8" s="152">
        <f>ТОиРГЭО!L83</f>
        <v>250476</v>
      </c>
      <c r="J8" s="152">
        <f>ТОиРГЭО!Q83</f>
        <v>4361</v>
      </c>
      <c r="K8" s="152">
        <f>ТОиРГЭО!M83</f>
        <v>4424</v>
      </c>
      <c r="L8" s="152">
        <f>ТОиРГЭО!N83</f>
        <v>0</v>
      </c>
      <c r="M8" s="152">
        <f>[2]АиУ!Q110</f>
        <v>0</v>
      </c>
      <c r="N8" s="152">
        <f>ТОиРГЭО!U83</f>
        <v>25051</v>
      </c>
      <c r="O8" s="152">
        <f>ТОиРГЭО!V83</f>
        <v>284312</v>
      </c>
      <c r="P8" s="152">
        <f>O8</f>
        <v>284312</v>
      </c>
      <c r="Q8" s="374">
        <v>0</v>
      </c>
      <c r="R8" s="197"/>
      <c r="S8" s="196"/>
      <c r="T8" s="144"/>
      <c r="U8" s="144"/>
      <c r="V8" s="144"/>
      <c r="W8" s="143"/>
      <c r="X8" s="143"/>
      <c r="Y8" s="143"/>
      <c r="Z8" s="143"/>
      <c r="AA8" s="143"/>
      <c r="AB8" s="487"/>
      <c r="AC8" s="487"/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7"/>
      <c r="AO8" s="487"/>
      <c r="AP8" s="487"/>
      <c r="AQ8" s="487"/>
      <c r="AR8" s="487"/>
      <c r="AS8" s="487"/>
      <c r="AT8" s="487"/>
      <c r="AU8" s="487"/>
      <c r="AV8" s="487"/>
      <c r="AW8" s="487"/>
      <c r="AX8" s="487"/>
    </row>
    <row r="9" spans="1:50" s="149" customFormat="1" ht="15" customHeight="1">
      <c r="A9" s="392"/>
      <c r="B9" s="389"/>
      <c r="C9" s="195" t="str">
        <f>ТОиРГЭО!B100</f>
        <v>Д-19-ТО и РГЭО-2</v>
      </c>
      <c r="D9" s="147">
        <f>ТОиРГЭО!T95</f>
        <v>1</v>
      </c>
      <c r="E9" s="152">
        <f>ТОиРГЭО!T97</f>
        <v>0</v>
      </c>
      <c r="F9" s="152">
        <f>ТОиРГЭО!T98</f>
        <v>24</v>
      </c>
      <c r="G9" s="147">
        <f t="shared" si="0"/>
        <v>24</v>
      </c>
      <c r="H9" s="153">
        <f>ТОиРГЭО!K123</f>
        <v>203.4</v>
      </c>
      <c r="I9" s="152">
        <f>ТОиРГЭО!L123</f>
        <v>255199</v>
      </c>
      <c r="J9" s="152">
        <f>ТОиРГЭО!Q123</f>
        <v>4361</v>
      </c>
      <c r="K9" s="152">
        <f>ТОиРГЭО!M123</f>
        <v>4424</v>
      </c>
      <c r="L9" s="152">
        <f>ТОиРГЭО!N123</f>
        <v>0</v>
      </c>
      <c r="M9" s="152" t="e">
        <f>[2]АиУ!#REF!</f>
        <v>#REF!</v>
      </c>
      <c r="N9" s="152">
        <f>ТОиРГЭО!U123</f>
        <v>25524</v>
      </c>
      <c r="O9" s="152">
        <f>ТОиРГЭО!V123</f>
        <v>289508</v>
      </c>
      <c r="P9" s="152">
        <v>0</v>
      </c>
      <c r="Q9" s="152">
        <f>O9</f>
        <v>289508</v>
      </c>
      <c r="R9" s="144"/>
      <c r="S9" s="196"/>
      <c r="T9" s="144"/>
      <c r="U9" s="144"/>
      <c r="V9" s="144"/>
      <c r="W9" s="143"/>
      <c r="X9" s="143"/>
      <c r="Y9" s="143"/>
      <c r="Z9" s="143"/>
      <c r="AA9" s="143"/>
      <c r="AB9" s="487"/>
      <c r="AC9" s="487"/>
      <c r="AD9" s="487"/>
      <c r="AE9" s="487"/>
      <c r="AF9" s="487"/>
      <c r="AG9" s="487"/>
      <c r="AH9" s="487"/>
      <c r="AI9" s="487"/>
      <c r="AJ9" s="487"/>
      <c r="AK9" s="487"/>
      <c r="AL9" s="487"/>
      <c r="AM9" s="487"/>
      <c r="AN9" s="487"/>
      <c r="AO9" s="487"/>
      <c r="AP9" s="487"/>
      <c r="AQ9" s="487"/>
      <c r="AR9" s="487"/>
      <c r="AS9" s="487"/>
      <c r="AT9" s="487"/>
      <c r="AU9" s="487"/>
      <c r="AV9" s="487"/>
      <c r="AW9" s="487"/>
      <c r="AX9" s="487"/>
    </row>
    <row r="10" spans="1:50" s="149" customFormat="1" ht="14.25" customHeight="1">
      <c r="A10" s="392"/>
      <c r="B10" s="389"/>
      <c r="C10" s="195" t="str">
        <f>ТОиРГЭО!B142</f>
        <v>Д-18-ТО и РГЭО-1</v>
      </c>
      <c r="D10" s="147">
        <f>ТОиРГЭО!T137</f>
        <v>2</v>
      </c>
      <c r="E10" s="152">
        <f>ТОиРГЭО!T139</f>
        <v>25</v>
      </c>
      <c r="F10" s="152">
        <f>ТОиРГЭО!T140</f>
        <v>0</v>
      </c>
      <c r="G10" s="147">
        <f t="shared" si="0"/>
        <v>25</v>
      </c>
      <c r="H10" s="153">
        <f>ТОиРГЭО!K161</f>
        <v>176.8</v>
      </c>
      <c r="I10" s="152">
        <f>ТОиРГЭО!L161</f>
        <v>215869</v>
      </c>
      <c r="J10" s="152">
        <f>ТОиРГЭО!Q161</f>
        <v>639</v>
      </c>
      <c r="K10" s="152">
        <f>ТОиРГЭО!M161</f>
        <v>4424</v>
      </c>
      <c r="L10" s="152">
        <f>ТОиРГЭО!N161</f>
        <v>4424</v>
      </c>
      <c r="M10" s="152"/>
      <c r="N10" s="152">
        <f>ТОиРГЭО!U161</f>
        <v>21589</v>
      </c>
      <c r="O10" s="152">
        <f>ТОиРГЭО!V161</f>
        <v>246945</v>
      </c>
      <c r="P10" s="152">
        <f>O10</f>
        <v>246945</v>
      </c>
      <c r="Q10" s="374">
        <v>0</v>
      </c>
      <c r="R10" s="144"/>
      <c r="S10" s="196"/>
      <c r="T10" s="144"/>
      <c r="U10" s="144"/>
      <c r="V10" s="144"/>
      <c r="W10" s="143"/>
      <c r="X10" s="143"/>
      <c r="Y10" s="143"/>
      <c r="Z10" s="143"/>
      <c r="AA10" s="143"/>
      <c r="AB10" s="487"/>
      <c r="AC10" s="487"/>
      <c r="AD10" s="487"/>
      <c r="AE10" s="487"/>
      <c r="AF10" s="487"/>
      <c r="AG10" s="487"/>
      <c r="AH10" s="487"/>
      <c r="AI10" s="487"/>
      <c r="AJ10" s="487"/>
      <c r="AK10" s="487"/>
      <c r="AL10" s="487"/>
      <c r="AM10" s="487"/>
      <c r="AN10" s="487"/>
      <c r="AO10" s="487"/>
      <c r="AP10" s="487"/>
      <c r="AQ10" s="487"/>
      <c r="AR10" s="487"/>
      <c r="AS10" s="487"/>
      <c r="AT10" s="487"/>
      <c r="AU10" s="487"/>
      <c r="AV10" s="487"/>
      <c r="AW10" s="487"/>
      <c r="AX10" s="487"/>
    </row>
    <row r="11" spans="1:50" s="149" customFormat="1" ht="15" customHeight="1">
      <c r="A11" s="392"/>
      <c r="B11" s="389"/>
      <c r="C11" s="195" t="str">
        <f>ТОиРГЭО!B178</f>
        <v>Д-18-ТО и РГЭО-2</v>
      </c>
      <c r="D11" s="147">
        <f>ТОиРГЭО!T173</f>
        <v>2</v>
      </c>
      <c r="E11" s="152">
        <f>ТОиРГЭО!T175</f>
        <v>0</v>
      </c>
      <c r="F11" s="152">
        <f>ТОиРГЭО!T176</f>
        <v>14</v>
      </c>
      <c r="G11" s="147">
        <f t="shared" si="0"/>
        <v>14</v>
      </c>
      <c r="H11" s="153">
        <f>ТОиРГЭО!K196</f>
        <v>163.6</v>
      </c>
      <c r="I11" s="152">
        <f>ТОиРГЭО!L196</f>
        <v>199656</v>
      </c>
      <c r="J11" s="152">
        <f>ТОиРГЭО!Q196</f>
        <v>356</v>
      </c>
      <c r="K11" s="152">
        <f>ТОиРГЭО!M196</f>
        <v>4424</v>
      </c>
      <c r="L11" s="152">
        <f>ТОиРГЭО!N196</f>
        <v>4424</v>
      </c>
      <c r="M11" s="152"/>
      <c r="N11" s="152">
        <f>ТОиРГЭО!U196</f>
        <v>19967</v>
      </c>
      <c r="O11" s="152">
        <f>ТОиРГЭО!V196</f>
        <v>228827</v>
      </c>
      <c r="P11" s="152">
        <v>0</v>
      </c>
      <c r="Q11" s="152">
        <f>O11</f>
        <v>228827</v>
      </c>
      <c r="R11" s="144"/>
      <c r="S11" s="196"/>
      <c r="T11" s="144"/>
      <c r="U11" s="144"/>
      <c r="V11" s="144"/>
      <c r="W11" s="143"/>
      <c r="X11" s="143"/>
      <c r="Y11" s="143"/>
      <c r="Z11" s="143"/>
      <c r="AA11" s="143"/>
      <c r="AB11" s="487"/>
      <c r="AC11" s="487"/>
      <c r="AD11" s="487"/>
      <c r="AE11" s="487"/>
      <c r="AF11" s="487"/>
      <c r="AG11" s="487"/>
      <c r="AH11" s="487"/>
      <c r="AI11" s="487"/>
      <c r="AJ11" s="487"/>
      <c r="AK11" s="487"/>
      <c r="AL11" s="487"/>
      <c r="AM11" s="487"/>
      <c r="AN11" s="487"/>
      <c r="AO11" s="487"/>
      <c r="AP11" s="487"/>
      <c r="AQ11" s="487"/>
      <c r="AR11" s="487"/>
      <c r="AS11" s="487"/>
      <c r="AT11" s="487"/>
      <c r="AU11" s="487"/>
      <c r="AV11" s="487"/>
      <c r="AW11" s="487"/>
      <c r="AX11" s="487"/>
    </row>
    <row r="12" spans="1:50" s="149" customFormat="1" ht="12" customHeight="1">
      <c r="A12" s="392"/>
      <c r="B12" s="389"/>
      <c r="C12" s="195" t="str">
        <f>ТОиРГЭО!B213</f>
        <v>Д-17-ТО и РГЭО</v>
      </c>
      <c r="D12" s="147">
        <f>ТОиРГЭО!T208</f>
        <v>3</v>
      </c>
      <c r="E12" s="152">
        <f>ТОиРГЭО!T210</f>
        <v>25</v>
      </c>
      <c r="F12" s="152">
        <f>ТОиРГЭО!T211</f>
        <v>1</v>
      </c>
      <c r="G12" s="147">
        <f t="shared" si="0"/>
        <v>26</v>
      </c>
      <c r="H12" s="153">
        <f>ТОиРГЭО!K224</f>
        <v>164.8</v>
      </c>
      <c r="I12" s="152">
        <f>ТОиРГЭО!L224</f>
        <v>202940</v>
      </c>
      <c r="J12" s="152">
        <f>ТОиРГЭО!Q224</f>
        <v>0</v>
      </c>
      <c r="K12" s="152">
        <f>ТОиРГЭО!M224</f>
        <v>4424</v>
      </c>
      <c r="L12" s="152">
        <f>ТОиРГЭО!N224</f>
        <v>0</v>
      </c>
      <c r="M12" s="152"/>
      <c r="N12" s="152">
        <f>ТОиРГЭО!U224</f>
        <v>20295</v>
      </c>
      <c r="O12" s="152">
        <f>ТОиРГЭО!V224</f>
        <v>227659</v>
      </c>
      <c r="P12" s="152">
        <f>O12*96.15%</f>
        <v>218894</v>
      </c>
      <c r="Q12" s="152">
        <f>O12-P12</f>
        <v>8765</v>
      </c>
      <c r="R12" s="144"/>
      <c r="S12" s="196"/>
      <c r="T12" s="144"/>
      <c r="U12" s="144"/>
      <c r="V12" s="144"/>
      <c r="W12" s="143"/>
      <c r="X12" s="143"/>
      <c r="Y12" s="143"/>
      <c r="Z12" s="143"/>
      <c r="AA12" s="143"/>
      <c r="AB12" s="487"/>
      <c r="AC12" s="487"/>
      <c r="AD12" s="487"/>
      <c r="AE12" s="487"/>
      <c r="AF12" s="487"/>
      <c r="AG12" s="487"/>
      <c r="AH12" s="487"/>
      <c r="AI12" s="487"/>
      <c r="AJ12" s="487"/>
      <c r="AK12" s="487"/>
      <c r="AL12" s="487"/>
      <c r="AM12" s="487"/>
      <c r="AN12" s="487"/>
      <c r="AO12" s="487"/>
      <c r="AP12" s="487"/>
      <c r="AQ12" s="487"/>
      <c r="AR12" s="487"/>
      <c r="AS12" s="487"/>
      <c r="AT12" s="487"/>
      <c r="AU12" s="487"/>
      <c r="AV12" s="487"/>
      <c r="AW12" s="487"/>
      <c r="AX12" s="487"/>
    </row>
    <row r="13" spans="1:50" s="149" customFormat="1" ht="15" customHeight="1">
      <c r="A13" s="393"/>
      <c r="B13" s="390"/>
      <c r="C13" s="195" t="str">
        <f>ТОиРГЭО!B242</f>
        <v>Д-16-ТО и РГЭО</v>
      </c>
      <c r="D13" s="147">
        <f>ТОиРГЭО!T237</f>
        <v>4</v>
      </c>
      <c r="E13" s="152">
        <f>ТОиРГЭО!T239</f>
        <v>20</v>
      </c>
      <c r="F13" s="152">
        <f>ТОиРГЭО!T240</f>
        <v>0</v>
      </c>
      <c r="G13" s="147">
        <f t="shared" si="0"/>
        <v>20</v>
      </c>
      <c r="H13" s="153">
        <f>ТОиРГЭО!K257</f>
        <v>154.4</v>
      </c>
      <c r="I13" s="152">
        <f>ТОиРГЭО!L257</f>
        <v>185980</v>
      </c>
      <c r="J13" s="152">
        <f>ТОиРГЭО!O257</f>
        <v>0</v>
      </c>
      <c r="K13" s="152">
        <f>ТОиРГЭО!M257</f>
        <v>4424</v>
      </c>
      <c r="L13" s="152">
        <f>ТОиРГЭО!N257</f>
        <v>0</v>
      </c>
      <c r="M13" s="152"/>
      <c r="N13" s="152">
        <f>ТОиРГЭО!U257</f>
        <v>18599</v>
      </c>
      <c r="O13" s="152">
        <f>ТОиРГЭО!V257</f>
        <v>209003</v>
      </c>
      <c r="P13" s="152">
        <f>O13</f>
        <v>209003</v>
      </c>
      <c r="Q13" s="374"/>
      <c r="R13" s="144"/>
      <c r="S13" s="196"/>
      <c r="T13" s="144"/>
      <c r="U13" s="144"/>
      <c r="V13" s="144"/>
      <c r="W13" s="143"/>
      <c r="X13" s="143"/>
      <c r="Y13" s="143"/>
      <c r="Z13" s="143"/>
      <c r="AA13" s="143"/>
      <c r="AB13" s="487"/>
      <c r="AC13" s="487"/>
      <c r="AD13" s="487"/>
      <c r="AE13" s="487"/>
      <c r="AF13" s="487"/>
      <c r="AG13" s="487"/>
      <c r="AH13" s="487"/>
      <c r="AI13" s="487"/>
      <c r="AJ13" s="487"/>
      <c r="AK13" s="487"/>
      <c r="AL13" s="487"/>
      <c r="AM13" s="487"/>
      <c r="AN13" s="487"/>
      <c r="AO13" s="487"/>
      <c r="AP13" s="487"/>
      <c r="AQ13" s="487"/>
      <c r="AR13" s="487"/>
      <c r="AS13" s="487"/>
      <c r="AT13" s="487"/>
      <c r="AU13" s="487"/>
      <c r="AV13" s="487"/>
      <c r="AW13" s="487"/>
      <c r="AX13" s="487"/>
    </row>
    <row r="14" spans="1:50" s="145" customFormat="1" ht="12" customHeight="1">
      <c r="A14" s="139"/>
      <c r="B14" s="164" t="s">
        <v>8</v>
      </c>
      <c r="C14" s="140"/>
      <c r="D14" s="150"/>
      <c r="E14" s="150">
        <f>SUM(E7:E13)</f>
        <v>95</v>
      </c>
      <c r="F14" s="150">
        <f t="shared" ref="F14:O14" si="1">SUM(F7:F13)</f>
        <v>62</v>
      </c>
      <c r="G14" s="150">
        <f t="shared" si="1"/>
        <v>157</v>
      </c>
      <c r="H14" s="141">
        <f>SUM(H7:H13)</f>
        <v>1221.8</v>
      </c>
      <c r="I14" s="150">
        <f t="shared" si="1"/>
        <v>1504691</v>
      </c>
      <c r="J14" s="150">
        <f t="shared" si="1"/>
        <v>10056</v>
      </c>
      <c r="K14" s="150">
        <f t="shared" si="1"/>
        <v>30968</v>
      </c>
      <c r="L14" s="150">
        <f t="shared" si="1"/>
        <v>8848</v>
      </c>
      <c r="M14" s="150" t="e">
        <f t="shared" si="1"/>
        <v>#REF!</v>
      </c>
      <c r="N14" s="150">
        <f t="shared" si="1"/>
        <v>150480</v>
      </c>
      <c r="O14" s="150">
        <f t="shared" si="1"/>
        <v>1705043</v>
      </c>
      <c r="P14" s="150">
        <f>SUM(P7:P13)</f>
        <v>959154</v>
      </c>
      <c r="Q14" s="150">
        <f>SUM(Q7:Q13)</f>
        <v>745889</v>
      </c>
      <c r="R14" s="142"/>
      <c r="S14" s="199"/>
      <c r="T14" s="142"/>
      <c r="U14" s="142"/>
      <c r="V14" s="142"/>
      <c r="W14" s="158"/>
      <c r="X14" s="158"/>
      <c r="Y14" s="158"/>
      <c r="Z14" s="158"/>
      <c r="AA14" s="158"/>
      <c r="AB14" s="488"/>
      <c r="AC14" s="488"/>
      <c r="AD14" s="488"/>
      <c r="AE14" s="488"/>
      <c r="AF14" s="488"/>
      <c r="AG14" s="488"/>
      <c r="AH14" s="488"/>
      <c r="AI14" s="488"/>
      <c r="AJ14" s="488"/>
      <c r="AK14" s="488"/>
      <c r="AL14" s="488"/>
      <c r="AM14" s="488"/>
      <c r="AN14" s="488"/>
      <c r="AO14" s="488"/>
      <c r="AP14" s="488"/>
      <c r="AQ14" s="488"/>
      <c r="AR14" s="488"/>
      <c r="AS14" s="488"/>
      <c r="AT14" s="488"/>
      <c r="AU14" s="488"/>
      <c r="AV14" s="488"/>
      <c r="AW14" s="488"/>
      <c r="AX14" s="488"/>
    </row>
    <row r="15" spans="1:50" s="149" customFormat="1" ht="15" customHeight="1">
      <c r="A15" s="391">
        <v>2</v>
      </c>
      <c r="B15" s="208" t="str">
        <f>[1]УиА!C16</f>
        <v>0508000 Учет и аудит</v>
      </c>
      <c r="C15" s="195" t="str">
        <f>УиА!B16</f>
        <v>Д-19-УиА</v>
      </c>
      <c r="D15" s="147">
        <f>УиА!T11</f>
        <v>1</v>
      </c>
      <c r="E15" s="152">
        <f>УиА!T13</f>
        <v>0</v>
      </c>
      <c r="F15" s="152">
        <f>УиА!T14</f>
        <v>29</v>
      </c>
      <c r="G15" s="147">
        <f t="shared" ref="G15:G37" si="2">SUM(E15:F15)</f>
        <v>29</v>
      </c>
      <c r="H15" s="147">
        <f>УиА!K41</f>
        <v>199.6</v>
      </c>
      <c r="I15" s="152">
        <f>УиА!L41</f>
        <v>248726</v>
      </c>
      <c r="J15" s="152">
        <f>УиА!Q41</f>
        <v>4361</v>
      </c>
      <c r="K15" s="147">
        <f>УиА!M41</f>
        <v>4424</v>
      </c>
      <c r="L15" s="147">
        <f>УиА!N41</f>
        <v>0</v>
      </c>
      <c r="M15" s="147" t="e">
        <f>#REF!</f>
        <v>#REF!</v>
      </c>
      <c r="N15" s="152">
        <f>УиА!U41</f>
        <v>24875</v>
      </c>
      <c r="O15" s="152">
        <f>УиА!V41</f>
        <v>282386</v>
      </c>
      <c r="P15" s="152"/>
      <c r="Q15" s="152">
        <f>O15</f>
        <v>282386</v>
      </c>
      <c r="R15" s="144"/>
      <c r="S15" s="144"/>
      <c r="T15" s="144"/>
      <c r="U15" s="144"/>
      <c r="V15" s="144"/>
      <c r="W15" s="143"/>
      <c r="X15" s="143"/>
      <c r="Y15" s="143"/>
      <c r="Z15" s="143"/>
      <c r="AA15" s="143"/>
      <c r="AB15" s="487"/>
      <c r="AC15" s="487"/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7"/>
      <c r="AO15" s="487"/>
      <c r="AP15" s="487"/>
      <c r="AQ15" s="487"/>
      <c r="AR15" s="487"/>
      <c r="AS15" s="487"/>
      <c r="AT15" s="487"/>
      <c r="AU15" s="487"/>
      <c r="AV15" s="487"/>
      <c r="AW15" s="487"/>
      <c r="AX15" s="487"/>
    </row>
    <row r="16" spans="1:50" s="149" customFormat="1" ht="14.25" customHeight="1">
      <c r="A16" s="392"/>
      <c r="B16" s="209"/>
      <c r="C16" s="195" t="str">
        <f>УиА!B62</f>
        <v>Д-18-УиА</v>
      </c>
      <c r="D16" s="147">
        <f>УиА!T56</f>
        <v>2</v>
      </c>
      <c r="E16" s="152">
        <f>УиА!T58</f>
        <v>0</v>
      </c>
      <c r="F16" s="152">
        <f>УиА!T59</f>
        <v>21</v>
      </c>
      <c r="G16" s="147">
        <f t="shared" si="2"/>
        <v>21</v>
      </c>
      <c r="H16" s="147">
        <f>УиА!K82</f>
        <v>161</v>
      </c>
      <c r="I16" s="152">
        <f>УиА!L82</f>
        <v>202588</v>
      </c>
      <c r="J16" s="152">
        <f>УиА!Q82</f>
        <v>465</v>
      </c>
      <c r="K16" s="147">
        <f>УиА!M82</f>
        <v>4424</v>
      </c>
      <c r="L16" s="147">
        <f>УиА!N82</f>
        <v>0</v>
      </c>
      <c r="M16" s="147" t="e">
        <f>#REF!</f>
        <v>#REF!</v>
      </c>
      <c r="N16" s="152">
        <f>УиА!U82</f>
        <v>20260</v>
      </c>
      <c r="O16" s="152">
        <f>УиА!V82</f>
        <v>227737</v>
      </c>
      <c r="P16" s="152"/>
      <c r="Q16" s="152">
        <f>O16</f>
        <v>227737</v>
      </c>
      <c r="R16" s="144"/>
      <c r="S16" s="196"/>
      <c r="T16" s="142"/>
      <c r="U16" s="144"/>
      <c r="V16" s="144"/>
      <c r="W16" s="143"/>
      <c r="X16" s="143"/>
      <c r="Y16" s="143"/>
      <c r="Z16" s="143"/>
      <c r="AA16" s="143"/>
      <c r="AB16" s="487"/>
      <c r="AC16" s="487"/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7"/>
      <c r="AO16" s="487"/>
      <c r="AP16" s="487"/>
      <c r="AQ16" s="487"/>
      <c r="AR16" s="487"/>
      <c r="AS16" s="487"/>
      <c r="AT16" s="487"/>
      <c r="AU16" s="487"/>
      <c r="AV16" s="487"/>
      <c r="AW16" s="487"/>
      <c r="AX16" s="487"/>
    </row>
    <row r="17" spans="1:50" s="149" customFormat="1" ht="14.25" customHeight="1">
      <c r="A17" s="393"/>
      <c r="B17" s="210"/>
      <c r="C17" s="195" t="str">
        <f>УиА!B100</f>
        <v>Д-17-УиА</v>
      </c>
      <c r="D17" s="147">
        <f>УиА!T94</f>
        <v>3</v>
      </c>
      <c r="E17" s="152">
        <f>УиА!T96</f>
        <v>0</v>
      </c>
      <c r="F17" s="152">
        <f>УиА!T97</f>
        <v>18</v>
      </c>
      <c r="G17" s="147">
        <f t="shared" si="2"/>
        <v>18</v>
      </c>
      <c r="H17" s="147">
        <f>УиА!K118</f>
        <v>157.6</v>
      </c>
      <c r="I17" s="152">
        <f>УиА!L118</f>
        <v>195280</v>
      </c>
      <c r="J17" s="152">
        <f>УиА!Q118</f>
        <v>391</v>
      </c>
      <c r="K17" s="147">
        <f>УиА!M118</f>
        <v>4424</v>
      </c>
      <c r="L17" s="147">
        <f>УиА!N118</f>
        <v>0</v>
      </c>
      <c r="M17" s="147"/>
      <c r="N17" s="152">
        <f>УиА!U118</f>
        <v>19528</v>
      </c>
      <c r="O17" s="152">
        <f>УиА!V118</f>
        <v>219623</v>
      </c>
      <c r="P17" s="152"/>
      <c r="Q17" s="152">
        <f>O17</f>
        <v>219623</v>
      </c>
      <c r="R17" s="144"/>
      <c r="S17" s="196"/>
      <c r="T17" s="142"/>
      <c r="U17" s="144"/>
      <c r="V17" s="144"/>
      <c r="W17" s="143"/>
      <c r="X17" s="143"/>
      <c r="Y17" s="143"/>
      <c r="Z17" s="143"/>
      <c r="AA17" s="143"/>
      <c r="AB17" s="487"/>
      <c r="AC17" s="487"/>
      <c r="AD17" s="487"/>
      <c r="AE17" s="487"/>
      <c r="AF17" s="487"/>
      <c r="AG17" s="487"/>
      <c r="AH17" s="487"/>
      <c r="AI17" s="487"/>
      <c r="AJ17" s="487"/>
      <c r="AK17" s="487"/>
      <c r="AL17" s="487"/>
      <c r="AM17" s="487"/>
      <c r="AN17" s="487"/>
      <c r="AO17" s="487"/>
      <c r="AP17" s="487"/>
      <c r="AQ17" s="487"/>
      <c r="AR17" s="487"/>
      <c r="AS17" s="487"/>
      <c r="AT17" s="487"/>
      <c r="AU17" s="487"/>
      <c r="AV17" s="487"/>
      <c r="AW17" s="487"/>
      <c r="AX17" s="487"/>
    </row>
    <row r="18" spans="1:50" s="145" customFormat="1">
      <c r="A18" s="139"/>
      <c r="B18" s="164" t="s">
        <v>8</v>
      </c>
      <c r="C18" s="140"/>
      <c r="D18" s="139"/>
      <c r="E18" s="141">
        <f>SUM(E15:E17)</f>
        <v>0</v>
      </c>
      <c r="F18" s="141">
        <f t="shared" ref="F18:O18" si="3">SUM(F15:F17)</f>
        <v>68</v>
      </c>
      <c r="G18" s="141">
        <f t="shared" si="3"/>
        <v>68</v>
      </c>
      <c r="H18" s="141">
        <f t="shared" si="3"/>
        <v>518.20000000000005</v>
      </c>
      <c r="I18" s="141">
        <f t="shared" si="3"/>
        <v>646594</v>
      </c>
      <c r="J18" s="141">
        <f t="shared" si="3"/>
        <v>5217</v>
      </c>
      <c r="K18" s="141">
        <f t="shared" si="3"/>
        <v>13272</v>
      </c>
      <c r="L18" s="141">
        <f t="shared" si="3"/>
        <v>0</v>
      </c>
      <c r="M18" s="141" t="e">
        <f t="shared" si="3"/>
        <v>#REF!</v>
      </c>
      <c r="N18" s="141">
        <f t="shared" si="3"/>
        <v>64663</v>
      </c>
      <c r="O18" s="141">
        <f t="shared" si="3"/>
        <v>729746</v>
      </c>
      <c r="P18" s="150">
        <f>SUM(P15:P17)</f>
        <v>0</v>
      </c>
      <c r="Q18" s="150">
        <f>SUM(Q15:Q17)</f>
        <v>729746</v>
      </c>
      <c r="R18" s="142"/>
      <c r="S18" s="142"/>
      <c r="T18" s="144"/>
      <c r="U18" s="142"/>
      <c r="V18" s="142"/>
      <c r="W18" s="158"/>
      <c r="X18" s="158"/>
      <c r="Y18" s="158"/>
      <c r="Z18" s="158"/>
      <c r="AA18" s="158"/>
      <c r="AB18" s="488"/>
      <c r="AC18" s="488"/>
      <c r="AD18" s="488"/>
      <c r="AE18" s="488"/>
      <c r="AF18" s="488"/>
      <c r="AG18" s="488"/>
      <c r="AH18" s="488"/>
      <c r="AI18" s="488"/>
      <c r="AJ18" s="488"/>
      <c r="AK18" s="488"/>
      <c r="AL18" s="488"/>
      <c r="AM18" s="488"/>
      <c r="AN18" s="488"/>
      <c r="AO18" s="488"/>
      <c r="AP18" s="488"/>
      <c r="AQ18" s="488"/>
      <c r="AR18" s="488"/>
      <c r="AS18" s="488"/>
      <c r="AT18" s="488"/>
      <c r="AU18" s="488"/>
      <c r="AV18" s="488"/>
      <c r="AW18" s="488"/>
      <c r="AX18" s="488"/>
    </row>
    <row r="19" spans="1:50" s="149" customFormat="1" ht="12.75" customHeight="1">
      <c r="A19" s="391">
        <v>3</v>
      </c>
      <c r="B19" s="395" t="str">
        <f>[1]ТЗОиРЭиЭО!C16</f>
        <v>0911000 Техническая эксплуатация, обслуживание и ремонт электрического и электромеханического  оборудования по видам</v>
      </c>
      <c r="C19" s="198" t="str">
        <f>ТЗОиРЭиЭО!B16</f>
        <v>Д-19- ТЭОиРЭиЭО-1</v>
      </c>
      <c r="D19" s="147">
        <f>ТЗОиРЭиЭО!T11</f>
        <v>1</v>
      </c>
      <c r="E19" s="152">
        <f>ТЗОиРЭиЭО!T13</f>
        <v>25</v>
      </c>
      <c r="F19" s="152">
        <f>ТЗОиРЭиЭО!T14</f>
        <v>0</v>
      </c>
      <c r="G19" s="147">
        <f t="shared" si="2"/>
        <v>25</v>
      </c>
      <c r="H19" s="201">
        <f>ТЗОиРЭиЭО!K41</f>
        <v>198.6</v>
      </c>
      <c r="I19" s="152">
        <f>ТЗОиРЭиЭО!L41</f>
        <v>249957</v>
      </c>
      <c r="J19" s="152">
        <f>ТЗОиРЭиЭО!Q41</f>
        <v>4361</v>
      </c>
      <c r="K19" s="152">
        <f>ТЗОиРЭиЭО!M41</f>
        <v>4424</v>
      </c>
      <c r="L19" s="152">
        <f>ТЗОиРЭиЭО!N41</f>
        <v>0</v>
      </c>
      <c r="M19" s="152" t="e">
        <f>#REF!</f>
        <v>#REF!</v>
      </c>
      <c r="N19" s="152">
        <f>ТЗОиРЭиЭО!U41</f>
        <v>24999</v>
      </c>
      <c r="O19" s="152">
        <f>ТЗОиРЭиЭО!V41</f>
        <v>283741</v>
      </c>
      <c r="P19" s="152">
        <f>O19</f>
        <v>283741</v>
      </c>
      <c r="Q19" s="374"/>
      <c r="R19" s="144"/>
      <c r="S19" s="144"/>
      <c r="T19" s="143"/>
      <c r="U19" s="144"/>
      <c r="V19" s="144"/>
      <c r="W19" s="143"/>
      <c r="X19" s="143"/>
      <c r="Y19" s="143"/>
      <c r="Z19" s="143"/>
      <c r="AA19" s="143"/>
      <c r="AB19" s="487"/>
      <c r="AC19" s="487"/>
      <c r="AD19" s="487"/>
      <c r="AE19" s="487"/>
      <c r="AF19" s="487"/>
      <c r="AG19" s="487"/>
      <c r="AH19" s="487"/>
      <c r="AI19" s="487"/>
      <c r="AJ19" s="487"/>
      <c r="AK19" s="487"/>
      <c r="AL19" s="487"/>
      <c r="AM19" s="487"/>
      <c r="AN19" s="487"/>
      <c r="AO19" s="487"/>
      <c r="AP19" s="487"/>
      <c r="AQ19" s="487"/>
      <c r="AR19" s="487"/>
      <c r="AS19" s="487"/>
      <c r="AT19" s="487"/>
      <c r="AU19" s="487"/>
      <c r="AV19" s="487"/>
      <c r="AW19" s="487"/>
      <c r="AX19" s="487"/>
    </row>
    <row r="20" spans="1:50" s="149" customFormat="1" ht="12.75" customHeight="1">
      <c r="A20" s="392"/>
      <c r="B20" s="396"/>
      <c r="C20" s="195" t="str">
        <f>ТЗОиРЭиЭО!A63</f>
        <v>Д-19- ТЭОиРЭиЭО-2</v>
      </c>
      <c r="D20" s="147">
        <f>ТЗОиРЭиЭО!T57</f>
        <v>1</v>
      </c>
      <c r="E20" s="152">
        <f>ТЗОиРЭиЭО!T59</f>
        <v>0</v>
      </c>
      <c r="F20" s="152">
        <f>ТЗОиРЭиЭО!T60</f>
        <v>19</v>
      </c>
      <c r="G20" s="147">
        <f t="shared" si="2"/>
        <v>19</v>
      </c>
      <c r="H20" s="147">
        <f>ТЗОиРЭиЭО!K82</f>
        <v>160</v>
      </c>
      <c r="I20" s="152">
        <f>ТЗОиРЭиЭО!L82</f>
        <v>200676</v>
      </c>
      <c r="J20" s="152">
        <f>ТЗОиРЭиЭО!Q82</f>
        <v>3380</v>
      </c>
      <c r="K20" s="147">
        <f>ТЗОиРЭиЭО!M82</f>
        <v>4424</v>
      </c>
      <c r="L20" s="147">
        <f>ТЗОиРЭиЭО!N82</f>
        <v>0</v>
      </c>
      <c r="M20" s="147" t="e">
        <f>#REF!</f>
        <v>#REF!</v>
      </c>
      <c r="N20" s="152">
        <f>ТЗОиРЭиЭО!U82</f>
        <v>20071</v>
      </c>
      <c r="O20" s="152">
        <f>ТЗОиРЭиЭО!V82</f>
        <v>228551</v>
      </c>
      <c r="P20" s="152"/>
      <c r="Q20" s="152">
        <f>O20</f>
        <v>228551</v>
      </c>
      <c r="R20" s="196"/>
      <c r="S20" s="196"/>
      <c r="T20" s="143"/>
      <c r="U20" s="144"/>
      <c r="V20" s="144"/>
      <c r="W20" s="143"/>
      <c r="X20" s="143"/>
      <c r="Y20" s="143"/>
      <c r="Z20" s="143"/>
      <c r="AA20" s="143"/>
      <c r="AB20" s="487"/>
      <c r="AC20" s="487"/>
      <c r="AD20" s="487"/>
      <c r="AE20" s="487"/>
      <c r="AF20" s="487"/>
      <c r="AG20" s="487"/>
      <c r="AH20" s="487"/>
      <c r="AI20" s="487"/>
      <c r="AJ20" s="487"/>
      <c r="AK20" s="487"/>
      <c r="AL20" s="487"/>
      <c r="AM20" s="487"/>
      <c r="AN20" s="487"/>
      <c r="AO20" s="487"/>
      <c r="AP20" s="487"/>
      <c r="AQ20" s="487"/>
      <c r="AR20" s="487"/>
      <c r="AS20" s="487"/>
      <c r="AT20" s="487"/>
      <c r="AU20" s="487"/>
      <c r="AV20" s="487"/>
      <c r="AW20" s="487"/>
      <c r="AX20" s="487"/>
    </row>
    <row r="21" spans="1:50" s="149" customFormat="1" ht="15" customHeight="1">
      <c r="A21" s="392"/>
      <c r="B21" s="396"/>
      <c r="C21" s="195" t="str">
        <f>ТЗОиРЭиЭО!B102</f>
        <v>Д-18- ТЭОиРЭиЭО-1</v>
      </c>
      <c r="D21" s="147">
        <f>ТЗОиРЭиЭО!T96</f>
        <v>2</v>
      </c>
      <c r="E21" s="152">
        <f>ТЗОиРЭиЭО!T98</f>
        <v>26</v>
      </c>
      <c r="F21" s="152">
        <f>ТЗОиРЭиЭО!T99</f>
        <v>0</v>
      </c>
      <c r="G21" s="147">
        <f t="shared" si="2"/>
        <v>26</v>
      </c>
      <c r="H21" s="147">
        <f>ТЗОиРЭиЭО!K127</f>
        <v>191.6</v>
      </c>
      <c r="I21" s="152">
        <f>ТЗОиРЭиЭО!L127</f>
        <v>234091</v>
      </c>
      <c r="J21" s="147">
        <f>ТЗОиРЭиЭО!Q127</f>
        <v>797</v>
      </c>
      <c r="K21" s="147">
        <f>ТЗОиРЭиЭО!M127</f>
        <v>4424</v>
      </c>
      <c r="L21" s="147">
        <f>ТЗОиРЭиЭО!N127</f>
        <v>4424</v>
      </c>
      <c r="M21" s="147" t="e">
        <f>#REF!</f>
        <v>#REF!</v>
      </c>
      <c r="N21" s="152">
        <f>ТЗОиРЭиЭО!U127</f>
        <v>23409</v>
      </c>
      <c r="O21" s="147">
        <f>ТЗОиРЭиЭО!V127</f>
        <v>267145</v>
      </c>
      <c r="P21" s="374">
        <f>O21</f>
        <v>267145</v>
      </c>
      <c r="Q21" s="374"/>
      <c r="R21" s="144"/>
      <c r="S21" s="144"/>
      <c r="T21" s="143"/>
      <c r="U21" s="144"/>
      <c r="V21" s="144"/>
      <c r="W21" s="143"/>
      <c r="X21" s="143"/>
      <c r="Y21" s="143"/>
      <c r="Z21" s="143"/>
      <c r="AA21" s="143"/>
      <c r="AB21" s="487"/>
      <c r="AC21" s="487"/>
      <c r="AD21" s="487"/>
      <c r="AE21" s="487"/>
      <c r="AF21" s="487"/>
      <c r="AG21" s="487"/>
      <c r="AH21" s="487"/>
      <c r="AI21" s="487"/>
      <c r="AJ21" s="487"/>
      <c r="AK21" s="487"/>
      <c r="AL21" s="487"/>
      <c r="AM21" s="487"/>
      <c r="AN21" s="487"/>
      <c r="AO21" s="487"/>
      <c r="AP21" s="487"/>
      <c r="AQ21" s="487"/>
      <c r="AR21" s="487"/>
      <c r="AS21" s="487"/>
      <c r="AT21" s="487"/>
      <c r="AU21" s="487"/>
      <c r="AV21" s="487"/>
      <c r="AW21" s="487"/>
      <c r="AX21" s="487"/>
    </row>
    <row r="22" spans="1:50" s="149" customFormat="1" ht="15" customHeight="1">
      <c r="A22" s="392"/>
      <c r="B22" s="396"/>
      <c r="C22" s="146" t="str">
        <f>ТЗОиРЭиЭО!B146</f>
        <v>Д-18- ТЭОиРЭиЭО-2</v>
      </c>
      <c r="D22" s="147">
        <f>ТЗОиРЭиЭО!T140</f>
        <v>2</v>
      </c>
      <c r="E22" s="147">
        <f>ТЗОиРЭиЭО!T142</f>
        <v>0</v>
      </c>
      <c r="F22" s="147">
        <f>ТЗОиРЭиЭО!T143</f>
        <v>20</v>
      </c>
      <c r="G22" s="147">
        <f t="shared" si="2"/>
        <v>20</v>
      </c>
      <c r="H22" s="153">
        <f>ТЗОиРЭиЭО!K165</f>
        <v>161</v>
      </c>
      <c r="I22" s="147">
        <f>ТЗОиРЭиЭО!L165</f>
        <v>196348</v>
      </c>
      <c r="J22" s="147">
        <f>ТЗОиРЭиЭО!Q165</f>
        <v>435</v>
      </c>
      <c r="K22" s="147">
        <f>ТЗОиРЭиЭО!M165</f>
        <v>4424</v>
      </c>
      <c r="L22" s="147">
        <f>ТЗОиРЭиЭО!N165</f>
        <v>4424</v>
      </c>
      <c r="M22" s="147"/>
      <c r="N22" s="152">
        <f>ТЗОиРЭиЭО!U165</f>
        <v>19635</v>
      </c>
      <c r="O22" s="147">
        <f>ТЗОиРЭиЭО!V165</f>
        <v>225266</v>
      </c>
      <c r="P22" s="374"/>
      <c r="Q22" s="374">
        <f>O22</f>
        <v>225266</v>
      </c>
      <c r="R22" s="144"/>
      <c r="S22" s="144"/>
      <c r="T22" s="143"/>
      <c r="U22" s="144"/>
      <c r="V22" s="144"/>
      <c r="W22" s="143"/>
      <c r="X22" s="143"/>
      <c r="Y22" s="143"/>
      <c r="Z22" s="143"/>
      <c r="AA22" s="143"/>
      <c r="AB22" s="487"/>
      <c r="AC22" s="487"/>
      <c r="AD22" s="487"/>
      <c r="AE22" s="487"/>
      <c r="AF22" s="487"/>
      <c r="AG22" s="487"/>
      <c r="AH22" s="487"/>
      <c r="AI22" s="487"/>
      <c r="AJ22" s="487"/>
      <c r="AK22" s="487"/>
      <c r="AL22" s="487"/>
      <c r="AM22" s="487"/>
      <c r="AN22" s="487"/>
      <c r="AO22" s="487"/>
      <c r="AP22" s="487"/>
      <c r="AQ22" s="487"/>
      <c r="AR22" s="487"/>
      <c r="AS22" s="487"/>
      <c r="AT22" s="487"/>
      <c r="AU22" s="487"/>
      <c r="AV22" s="487"/>
      <c r="AW22" s="487"/>
      <c r="AX22" s="487"/>
    </row>
    <row r="23" spans="1:50" s="149" customFormat="1" ht="15" customHeight="1">
      <c r="A23" s="392"/>
      <c r="B23" s="396"/>
      <c r="C23" s="146" t="str">
        <f>ТЗОиРЭиЭО!B182</f>
        <v>Д-18- 11-ТЭОиРЭиЭО</v>
      </c>
      <c r="D23" s="147">
        <f>ТЗОиРЭиЭО!T177</f>
        <v>2</v>
      </c>
      <c r="E23" s="147">
        <f>ТЗОиРЭиЭО!T179</f>
        <v>18</v>
      </c>
      <c r="F23" s="147">
        <f>ТЗОиРЭиЭО!T180</f>
        <v>0</v>
      </c>
      <c r="G23" s="147">
        <f t="shared" si="2"/>
        <v>18</v>
      </c>
      <c r="H23" s="153">
        <f>ТЗОиРЭиЭО!K194</f>
        <v>154.6</v>
      </c>
      <c r="I23" s="147">
        <f>ТЗОиРЭиЭО!L194</f>
        <v>184428</v>
      </c>
      <c r="J23" s="147">
        <f>ТЗОиРЭиЭО!Q194</f>
        <v>0</v>
      </c>
      <c r="K23" s="147">
        <f>ТЗОиРЭиЭО!M194</f>
        <v>4424</v>
      </c>
      <c r="L23" s="147">
        <f>ТЗОиРЭиЭО!N194</f>
        <v>4424</v>
      </c>
      <c r="M23" s="147"/>
      <c r="N23" s="152">
        <f>ТЗОиРЭиЭО!U194</f>
        <v>18444</v>
      </c>
      <c r="O23" s="147">
        <f>ТЗОиРЭиЭО!V194</f>
        <v>211720</v>
      </c>
      <c r="P23" s="374">
        <f>O23</f>
        <v>211720</v>
      </c>
      <c r="Q23" s="374"/>
      <c r="R23" s="144"/>
      <c r="S23" s="144"/>
      <c r="T23" s="143"/>
      <c r="U23" s="144"/>
      <c r="V23" s="144"/>
      <c r="W23" s="143"/>
      <c r="X23" s="143"/>
      <c r="Y23" s="143"/>
      <c r="Z23" s="143"/>
      <c r="AA23" s="143"/>
      <c r="AB23" s="487"/>
      <c r="AC23" s="487"/>
      <c r="AD23" s="487"/>
      <c r="AE23" s="487"/>
      <c r="AF23" s="487"/>
      <c r="AG23" s="487"/>
      <c r="AH23" s="487"/>
      <c r="AI23" s="487"/>
      <c r="AJ23" s="487"/>
      <c r="AK23" s="487"/>
      <c r="AL23" s="487"/>
      <c r="AM23" s="487"/>
      <c r="AN23" s="487"/>
      <c r="AO23" s="487"/>
      <c r="AP23" s="487"/>
      <c r="AQ23" s="487"/>
      <c r="AR23" s="487"/>
      <c r="AS23" s="487"/>
      <c r="AT23" s="487"/>
      <c r="AU23" s="487"/>
      <c r="AV23" s="487"/>
      <c r="AW23" s="487"/>
      <c r="AX23" s="487"/>
    </row>
    <row r="24" spans="1:50" s="149" customFormat="1" ht="12" customHeight="1">
      <c r="A24" s="392"/>
      <c r="B24" s="396"/>
      <c r="C24" s="146" t="str">
        <f>ТЗОиРЭиЭО!B211</f>
        <v>Д-17-ТЭОиРЭиЭО</v>
      </c>
      <c r="D24" s="147">
        <f>ТЗОиРЭиЭО!T206</f>
        <v>3</v>
      </c>
      <c r="E24" s="147">
        <f>ТЗОиРЭиЭО!T208</f>
        <v>25</v>
      </c>
      <c r="F24" s="147">
        <f>ТЗОиРЭиЭО!T209</f>
        <v>2</v>
      </c>
      <c r="G24" s="147">
        <f t="shared" si="2"/>
        <v>27</v>
      </c>
      <c r="H24" s="153">
        <f>ТЗОиРЭиЭО!K226</f>
        <v>173.8</v>
      </c>
      <c r="I24" s="147">
        <f>ТЗОиРЭиЭО!L226</f>
        <v>210796</v>
      </c>
      <c r="J24" s="147">
        <f>ТЗОиРЭиЭО!Q226</f>
        <v>0</v>
      </c>
      <c r="K24" s="147">
        <f>ТЗОиРЭиЭО!M226</f>
        <v>4424</v>
      </c>
      <c r="L24" s="147">
        <f>ТЗОиРЭиЭО!N226</f>
        <v>0</v>
      </c>
      <c r="M24" s="147"/>
      <c r="N24" s="152">
        <f>ТЗОиРЭиЭО!U226</f>
        <v>21079</v>
      </c>
      <c r="O24" s="147">
        <f>ТЗОиРЭиЭО!V226</f>
        <v>236299</v>
      </c>
      <c r="P24" s="152">
        <f>O24*92.59%</f>
        <v>218789</v>
      </c>
      <c r="Q24" s="152">
        <f>O24-P24</f>
        <v>17510</v>
      </c>
      <c r="R24" s="144"/>
      <c r="S24" s="144"/>
      <c r="T24" s="143"/>
      <c r="U24" s="144"/>
      <c r="V24" s="144"/>
      <c r="W24" s="143"/>
      <c r="X24" s="143"/>
      <c r="Y24" s="143"/>
      <c r="Z24" s="143"/>
      <c r="AA24" s="143"/>
      <c r="AB24" s="487"/>
      <c r="AC24" s="487"/>
      <c r="AD24" s="487"/>
      <c r="AE24" s="487"/>
      <c r="AF24" s="487"/>
      <c r="AG24" s="487"/>
      <c r="AH24" s="487"/>
      <c r="AI24" s="487"/>
      <c r="AJ24" s="487"/>
      <c r="AK24" s="487"/>
      <c r="AL24" s="487"/>
      <c r="AM24" s="487"/>
      <c r="AN24" s="487"/>
      <c r="AO24" s="487"/>
      <c r="AP24" s="487"/>
      <c r="AQ24" s="487"/>
      <c r="AR24" s="487"/>
      <c r="AS24" s="487"/>
      <c r="AT24" s="487"/>
      <c r="AU24" s="487"/>
      <c r="AV24" s="487"/>
      <c r="AW24" s="487"/>
      <c r="AX24" s="487"/>
    </row>
    <row r="25" spans="1:50" s="149" customFormat="1" ht="12.75" customHeight="1">
      <c r="A25" s="392"/>
      <c r="B25" s="396"/>
      <c r="C25" s="146" t="str">
        <f>ТЗОиРЭиЭО!B243</f>
        <v>Д-17-11-ТЭОиРЭиЭО</v>
      </c>
      <c r="D25" s="147">
        <f>ТЗОиРЭиЭО!T238</f>
        <v>3</v>
      </c>
      <c r="E25" s="147">
        <f>ТЗОиРЭиЭО!T240</f>
        <v>21</v>
      </c>
      <c r="F25" s="147">
        <f>ТЗОиРЭиЭО!T241</f>
        <v>0</v>
      </c>
      <c r="G25" s="147">
        <f t="shared" si="2"/>
        <v>21</v>
      </c>
      <c r="H25" s="153">
        <f>ТЗОиРЭиЭО!K255</f>
        <v>156</v>
      </c>
      <c r="I25" s="147">
        <f>ТЗОиРЭиЭО!L255</f>
        <v>187424</v>
      </c>
      <c r="J25" s="147">
        <f>ТЗОиРЭиЭО!Q255</f>
        <v>0</v>
      </c>
      <c r="K25" s="147">
        <f>ТЗОиРЭиЭО!M255</f>
        <v>4424</v>
      </c>
      <c r="L25" s="147">
        <f>ТЗОиРЭиЭО!N255</f>
        <v>5309</v>
      </c>
      <c r="M25" s="147"/>
      <c r="N25" s="152">
        <f>ТЗОиРЭиЭО!U255</f>
        <v>18742</v>
      </c>
      <c r="O25" s="152">
        <f>ТЗОиРЭиЭО!V255</f>
        <v>215899</v>
      </c>
      <c r="P25" s="152">
        <f>O25</f>
        <v>215899</v>
      </c>
      <c r="Q25" s="374"/>
      <c r="R25" s="144"/>
      <c r="S25" s="144"/>
      <c r="T25" s="143"/>
      <c r="U25" s="144"/>
      <c r="V25" s="144"/>
      <c r="W25" s="143"/>
      <c r="X25" s="143"/>
      <c r="Y25" s="143"/>
      <c r="Z25" s="143"/>
      <c r="AA25" s="143"/>
      <c r="AB25" s="487"/>
      <c r="AC25" s="487"/>
      <c r="AD25" s="487"/>
      <c r="AE25" s="487"/>
      <c r="AF25" s="487"/>
      <c r="AG25" s="487"/>
      <c r="AH25" s="487"/>
      <c r="AI25" s="487"/>
      <c r="AJ25" s="487"/>
      <c r="AK25" s="487"/>
      <c r="AL25" s="487"/>
      <c r="AM25" s="487"/>
      <c r="AN25" s="487"/>
      <c r="AO25" s="487"/>
      <c r="AP25" s="487"/>
      <c r="AQ25" s="487"/>
      <c r="AR25" s="487"/>
      <c r="AS25" s="487"/>
      <c r="AT25" s="487"/>
      <c r="AU25" s="487"/>
      <c r="AV25" s="487"/>
      <c r="AW25" s="487"/>
      <c r="AX25" s="487"/>
    </row>
    <row r="26" spans="1:50" s="149" customFormat="1" ht="12.75" customHeight="1">
      <c r="A26" s="393"/>
      <c r="B26" s="397"/>
      <c r="C26" s="146" t="str">
        <f>ТЗОиРЭиЭО!B273</f>
        <v>Д-16-ТЭОиРЭиЭО</v>
      </c>
      <c r="D26" s="147">
        <f>ТЗОиРЭиЭО!T268</f>
        <v>4</v>
      </c>
      <c r="E26" s="147">
        <f>ТЗОиРЭиЭО!T270</f>
        <v>23</v>
      </c>
      <c r="F26" s="147">
        <f>ТЗОиРЭиЭО!T271</f>
        <v>0</v>
      </c>
      <c r="G26" s="147">
        <f t="shared" si="2"/>
        <v>23</v>
      </c>
      <c r="H26" s="153">
        <f>ТЗОиРЭиЭО!K286</f>
        <v>158.6</v>
      </c>
      <c r="I26" s="147">
        <f>ТЗОиРЭиЭО!L286</f>
        <v>189573</v>
      </c>
      <c r="J26" s="147">
        <f>ТЗОиРЭиЭО!Q286</f>
        <v>0</v>
      </c>
      <c r="K26" s="147">
        <f>ТЗОиРЭиЭО!M286</f>
        <v>4424</v>
      </c>
      <c r="L26" s="147">
        <f>ТЗОиРЭиЭО!N286</f>
        <v>0</v>
      </c>
      <c r="M26" s="147"/>
      <c r="N26" s="152">
        <f>ТЗОиРЭиЭО!U286</f>
        <v>18958</v>
      </c>
      <c r="O26" s="147">
        <f>ТЗОиРЭиЭО!V286</f>
        <v>212955</v>
      </c>
      <c r="P26" s="374">
        <f>O26</f>
        <v>212955</v>
      </c>
      <c r="Q26" s="374"/>
      <c r="R26" s="144"/>
      <c r="S26" s="144"/>
      <c r="T26" s="143"/>
      <c r="U26" s="144"/>
      <c r="V26" s="144"/>
      <c r="W26" s="143"/>
      <c r="X26" s="143"/>
      <c r="Y26" s="143"/>
      <c r="Z26" s="143"/>
      <c r="AA26" s="143"/>
      <c r="AB26" s="487"/>
      <c r="AC26" s="487"/>
      <c r="AD26" s="487"/>
      <c r="AE26" s="487"/>
      <c r="AF26" s="487"/>
      <c r="AG26" s="487"/>
      <c r="AH26" s="487"/>
      <c r="AI26" s="487"/>
      <c r="AJ26" s="487"/>
      <c r="AK26" s="487"/>
      <c r="AL26" s="487"/>
      <c r="AM26" s="487"/>
      <c r="AN26" s="487"/>
      <c r="AO26" s="487"/>
      <c r="AP26" s="487"/>
      <c r="AQ26" s="487"/>
      <c r="AR26" s="487"/>
      <c r="AS26" s="487"/>
      <c r="AT26" s="487"/>
      <c r="AU26" s="487"/>
      <c r="AV26" s="487"/>
      <c r="AW26" s="487"/>
      <c r="AX26" s="487"/>
    </row>
    <row r="27" spans="1:50" s="203" customFormat="1">
      <c r="A27" s="139"/>
      <c r="B27" s="165" t="s">
        <v>8</v>
      </c>
      <c r="C27" s="202"/>
      <c r="D27" s="139"/>
      <c r="E27" s="150">
        <f>SUM(E19:E26)</f>
        <v>138</v>
      </c>
      <c r="F27" s="150">
        <f t="shared" ref="F27:O27" si="4">SUM(F19:F26)</f>
        <v>41</v>
      </c>
      <c r="G27" s="150">
        <f t="shared" si="4"/>
        <v>179</v>
      </c>
      <c r="H27" s="151">
        <f t="shared" si="4"/>
        <v>1354.2</v>
      </c>
      <c r="I27" s="150">
        <f t="shared" si="4"/>
        <v>1653293</v>
      </c>
      <c r="J27" s="150">
        <f t="shared" si="4"/>
        <v>8973</v>
      </c>
      <c r="K27" s="150">
        <f t="shared" si="4"/>
        <v>35392</v>
      </c>
      <c r="L27" s="150">
        <f t="shared" si="4"/>
        <v>18581</v>
      </c>
      <c r="M27" s="150" t="e">
        <f t="shared" si="4"/>
        <v>#REF!</v>
      </c>
      <c r="N27" s="150">
        <f t="shared" si="4"/>
        <v>165337</v>
      </c>
      <c r="O27" s="150">
        <f t="shared" si="4"/>
        <v>1881576</v>
      </c>
      <c r="P27" s="150">
        <f>SUM(P19:P26)</f>
        <v>1410249</v>
      </c>
      <c r="Q27" s="150">
        <f>SUM(Q19:Q26)</f>
        <v>471327</v>
      </c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488"/>
      <c r="AC27" s="488"/>
      <c r="AD27" s="488"/>
      <c r="AE27" s="488"/>
      <c r="AF27" s="488"/>
      <c r="AG27" s="488"/>
      <c r="AH27" s="488"/>
      <c r="AI27" s="488"/>
      <c r="AJ27" s="488"/>
      <c r="AK27" s="488"/>
      <c r="AL27" s="488"/>
      <c r="AM27" s="488"/>
      <c r="AN27" s="488"/>
      <c r="AO27" s="488"/>
      <c r="AP27" s="488"/>
      <c r="AQ27" s="488"/>
      <c r="AR27" s="488"/>
      <c r="AS27" s="488"/>
      <c r="AT27" s="488"/>
      <c r="AU27" s="488"/>
      <c r="AV27" s="488"/>
      <c r="AW27" s="488"/>
      <c r="AX27" s="488"/>
    </row>
    <row r="28" spans="1:50" s="149" customFormat="1">
      <c r="A28" s="386">
        <v>4</v>
      </c>
      <c r="B28" s="388" t="str">
        <f>[1]ТМ!C17</f>
        <v>1014000 Технология машиностроения (по видам)</v>
      </c>
      <c r="C28" s="146" t="str">
        <f>ТМ!B16</f>
        <v>Д-19- ТМ</v>
      </c>
      <c r="D28" s="147">
        <f>ТМ!T11</f>
        <v>1</v>
      </c>
      <c r="E28" s="152">
        <f>ТМ!T13</f>
        <v>0</v>
      </c>
      <c r="F28" s="152">
        <f>ТМ!T14</f>
        <v>24</v>
      </c>
      <c r="G28" s="147">
        <f t="shared" si="2"/>
        <v>24</v>
      </c>
      <c r="H28" s="201">
        <f>ТМ!K40</f>
        <v>199.6</v>
      </c>
      <c r="I28" s="152">
        <f>ТМ!L40</f>
        <v>247847</v>
      </c>
      <c r="J28" s="152">
        <f>ТМ!Q40</f>
        <v>4361</v>
      </c>
      <c r="K28" s="152">
        <f>ТМ!M40</f>
        <v>4424</v>
      </c>
      <c r="L28" s="152">
        <f>ТМ!N40</f>
        <v>4424</v>
      </c>
      <c r="M28" s="147" t="e">
        <f>#REF!</f>
        <v>#REF!</v>
      </c>
      <c r="N28" s="152">
        <f>ТМ!U40</f>
        <v>24787</v>
      </c>
      <c r="O28" s="152">
        <f>ТМ!V40</f>
        <v>285843</v>
      </c>
      <c r="P28" s="152"/>
      <c r="Q28" s="152">
        <f>O28</f>
        <v>285843</v>
      </c>
      <c r="R28" s="143"/>
      <c r="S28" s="200"/>
      <c r="T28" s="143"/>
      <c r="U28" s="143"/>
      <c r="V28" s="143"/>
      <c r="W28" s="143"/>
      <c r="X28" s="143"/>
      <c r="Y28" s="143"/>
      <c r="Z28" s="143"/>
      <c r="AA28" s="143"/>
      <c r="AB28" s="487"/>
      <c r="AC28" s="487"/>
      <c r="AD28" s="487"/>
      <c r="AE28" s="487"/>
      <c r="AF28" s="487"/>
      <c r="AG28" s="487"/>
      <c r="AH28" s="487"/>
      <c r="AI28" s="487"/>
      <c r="AJ28" s="487"/>
      <c r="AK28" s="487"/>
      <c r="AL28" s="487"/>
      <c r="AM28" s="487"/>
      <c r="AN28" s="487"/>
      <c r="AO28" s="487"/>
      <c r="AP28" s="487"/>
      <c r="AQ28" s="487"/>
      <c r="AR28" s="487"/>
      <c r="AS28" s="487"/>
      <c r="AT28" s="487"/>
      <c r="AU28" s="487"/>
      <c r="AV28" s="487"/>
      <c r="AW28" s="487"/>
      <c r="AX28" s="487"/>
    </row>
    <row r="29" spans="1:50" s="149" customFormat="1">
      <c r="A29" s="386"/>
      <c r="B29" s="389"/>
      <c r="C29" s="146" t="str">
        <f>ТМ!B58</f>
        <v>Д-17- ТМ</v>
      </c>
      <c r="D29" s="147">
        <f>ТМ!T53</f>
        <v>3</v>
      </c>
      <c r="E29" s="152">
        <f>ТМ!T55</f>
        <v>23</v>
      </c>
      <c r="F29" s="152">
        <f>ТМ!T56</f>
        <v>0</v>
      </c>
      <c r="G29" s="147">
        <f t="shared" si="2"/>
        <v>23</v>
      </c>
      <c r="H29" s="201">
        <f>ТМ!K71</f>
        <v>157.19999999999999</v>
      </c>
      <c r="I29" s="152">
        <f>ТМ!L71</f>
        <v>193287</v>
      </c>
      <c r="J29" s="152">
        <f>ТМ!Q71</f>
        <v>0</v>
      </c>
      <c r="K29" s="152">
        <f>ТМ!M71</f>
        <v>4424</v>
      </c>
      <c r="L29" s="152">
        <f>ТМ!N71</f>
        <v>5309</v>
      </c>
      <c r="M29" s="147" t="e">
        <f>#REF!</f>
        <v>#REF!</v>
      </c>
      <c r="N29" s="152">
        <f>ТМ!U71</f>
        <v>19329</v>
      </c>
      <c r="O29" s="152">
        <f>ТМ!V71</f>
        <v>222349</v>
      </c>
      <c r="P29" s="152">
        <f>O29</f>
        <v>222349</v>
      </c>
      <c r="Q29" s="374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487"/>
      <c r="AC29" s="487"/>
      <c r="AD29" s="487"/>
      <c r="AE29" s="487"/>
      <c r="AF29" s="487"/>
      <c r="AG29" s="487"/>
      <c r="AH29" s="487"/>
      <c r="AI29" s="487"/>
      <c r="AJ29" s="487"/>
      <c r="AK29" s="487"/>
      <c r="AL29" s="487"/>
      <c r="AM29" s="487"/>
      <c r="AN29" s="487"/>
      <c r="AO29" s="487"/>
      <c r="AP29" s="487"/>
      <c r="AQ29" s="487"/>
      <c r="AR29" s="487"/>
      <c r="AS29" s="487"/>
      <c r="AT29" s="487"/>
      <c r="AU29" s="487"/>
      <c r="AV29" s="487"/>
      <c r="AW29" s="487"/>
      <c r="AX29" s="487"/>
    </row>
    <row r="30" spans="1:50" s="149" customFormat="1" ht="13.5" thickBot="1">
      <c r="A30" s="386"/>
      <c r="B30" s="390"/>
      <c r="C30" s="146" t="str">
        <f>ТМ!B90</f>
        <v>Д-16- ТМ</v>
      </c>
      <c r="D30" s="147">
        <f>ТМ!T85</f>
        <v>4</v>
      </c>
      <c r="E30" s="147">
        <f>ТМ!T87</f>
        <v>20</v>
      </c>
      <c r="F30" s="147">
        <f>ТМ!T88</f>
        <v>0</v>
      </c>
      <c r="G30" s="147">
        <f t="shared" si="2"/>
        <v>20</v>
      </c>
      <c r="H30" s="153">
        <f>ТМ!K100</f>
        <v>98.8</v>
      </c>
      <c r="I30" s="152">
        <f>ТМ!L100</f>
        <v>119963</v>
      </c>
      <c r="J30" s="152">
        <f>ТМ!Q100</f>
        <v>0</v>
      </c>
      <c r="K30" s="152">
        <f>ТМ!M100</f>
        <v>4424</v>
      </c>
      <c r="L30" s="201">
        <f>ТМ!N100</f>
        <v>0</v>
      </c>
      <c r="M30" s="147" t="e">
        <f>#REF!</f>
        <v>#REF!</v>
      </c>
      <c r="N30" s="152">
        <f>ТМ!U100</f>
        <v>11995</v>
      </c>
      <c r="O30" s="152">
        <f>ТМ!V100</f>
        <v>136382</v>
      </c>
      <c r="P30" s="152">
        <f>O30</f>
        <v>136382</v>
      </c>
      <c r="Q30" s="374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487"/>
      <c r="AC30" s="487"/>
      <c r="AD30" s="487"/>
      <c r="AE30" s="487"/>
      <c r="AF30" s="487"/>
      <c r="AG30" s="487"/>
      <c r="AH30" s="487"/>
      <c r="AI30" s="487"/>
      <c r="AJ30" s="487"/>
      <c r="AK30" s="487"/>
      <c r="AL30" s="487"/>
      <c r="AM30" s="487"/>
      <c r="AN30" s="487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</row>
    <row r="31" spans="1:50" s="149" customFormat="1" ht="13.5" hidden="1" thickBot="1">
      <c r="A31" s="147">
        <v>6</v>
      </c>
      <c r="B31" s="164" t="s">
        <v>284</v>
      </c>
      <c r="C31" s="146"/>
      <c r="D31" s="147"/>
      <c r="E31" s="147"/>
      <c r="F31" s="147"/>
      <c r="G31" s="147"/>
      <c r="H31" s="153"/>
      <c r="I31" s="147"/>
      <c r="J31" s="147">
        <f>[2]АиУ!N252</f>
        <v>0</v>
      </c>
      <c r="K31" s="147">
        <f>[2]АиУ!O252</f>
        <v>0</v>
      </c>
      <c r="L31" s="147">
        <f>[2]АиУ!P252</f>
        <v>0</v>
      </c>
      <c r="M31" s="147">
        <f>[2]АиУ!Q252</f>
        <v>0</v>
      </c>
      <c r="N31" s="147"/>
      <c r="O31" s="147"/>
      <c r="P31" s="374"/>
      <c r="Q31" s="374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487"/>
      <c r="AC31" s="487"/>
      <c r="AD31" s="487"/>
      <c r="AE31" s="487"/>
      <c r="AF31" s="487"/>
      <c r="AG31" s="487"/>
      <c r="AH31" s="487"/>
      <c r="AI31" s="487"/>
      <c r="AJ31" s="487"/>
      <c r="AK31" s="487"/>
      <c r="AL31" s="487"/>
      <c r="AM31" s="487"/>
      <c r="AN31" s="487"/>
      <c r="AO31" s="487"/>
      <c r="AP31" s="487"/>
      <c r="AQ31" s="487"/>
      <c r="AR31" s="487"/>
      <c r="AS31" s="487"/>
      <c r="AT31" s="487"/>
      <c r="AU31" s="487"/>
      <c r="AV31" s="487"/>
      <c r="AW31" s="487"/>
      <c r="AX31" s="487"/>
    </row>
    <row r="32" spans="1:50" s="205" customFormat="1" ht="15.75" customHeight="1" thickBot="1">
      <c r="A32" s="139"/>
      <c r="B32" s="165" t="s">
        <v>8</v>
      </c>
      <c r="C32" s="204"/>
      <c r="D32" s="139"/>
      <c r="E32" s="150">
        <f t="shared" ref="E32:N32" si="5">SUM(E28:E31)</f>
        <v>43</v>
      </c>
      <c r="F32" s="150">
        <f t="shared" si="5"/>
        <v>24</v>
      </c>
      <c r="G32" s="150">
        <f t="shared" si="5"/>
        <v>67</v>
      </c>
      <c r="H32" s="151">
        <f t="shared" si="5"/>
        <v>455.6</v>
      </c>
      <c r="I32" s="150">
        <f t="shared" si="5"/>
        <v>561097</v>
      </c>
      <c r="J32" s="150">
        <f t="shared" si="5"/>
        <v>4361</v>
      </c>
      <c r="K32" s="150">
        <f t="shared" si="5"/>
        <v>13272</v>
      </c>
      <c r="L32" s="150">
        <f t="shared" si="5"/>
        <v>9733</v>
      </c>
      <c r="M32" s="150" t="e">
        <f t="shared" si="5"/>
        <v>#REF!</v>
      </c>
      <c r="N32" s="150">
        <f t="shared" si="5"/>
        <v>56111</v>
      </c>
      <c r="O32" s="150">
        <f>SUM(O28:O31)</f>
        <v>644574</v>
      </c>
      <c r="P32" s="150">
        <f>SUM(P28:P31)</f>
        <v>358731</v>
      </c>
      <c r="Q32" s="150">
        <f>SUM(Q28:Q31)</f>
        <v>285843</v>
      </c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488"/>
      <c r="AC32" s="488"/>
      <c r="AD32" s="488"/>
      <c r="AE32" s="488"/>
      <c r="AF32" s="488"/>
      <c r="AG32" s="488"/>
      <c r="AH32" s="488"/>
      <c r="AI32" s="488"/>
      <c r="AJ32" s="488"/>
      <c r="AK32" s="488"/>
      <c r="AL32" s="488"/>
      <c r="AM32" s="488"/>
      <c r="AN32" s="488"/>
      <c r="AO32" s="488"/>
      <c r="AP32" s="488"/>
      <c r="AQ32" s="488"/>
      <c r="AR32" s="488"/>
      <c r="AS32" s="488"/>
      <c r="AT32" s="488"/>
      <c r="AU32" s="488"/>
      <c r="AV32" s="488"/>
      <c r="AW32" s="488"/>
      <c r="AX32" s="488"/>
    </row>
    <row r="33" spans="1:50" s="149" customFormat="1" ht="13.5" customHeight="1">
      <c r="A33" s="386">
        <v>5</v>
      </c>
      <c r="B33" s="394" t="str">
        <f>[1]ЭРиТОПСЖД!C16</f>
        <v xml:space="preserve"> 1108000 Эксплуатация, ремонт и техническое обслуживание подвижного состава железных дорог</v>
      </c>
      <c r="C33" s="146" t="str">
        <f>ЭРиТОПСЖД!B16</f>
        <v>Д-18- ЭРиТОПСЖД</v>
      </c>
      <c r="D33" s="147">
        <f>ЭРиТОПСЖД!T11</f>
        <v>2</v>
      </c>
      <c r="E33" s="152">
        <f>ЭРиТОПСЖД!T13</f>
        <v>25</v>
      </c>
      <c r="F33" s="152">
        <f>ЭРиТОПСЖД!T14</f>
        <v>0</v>
      </c>
      <c r="G33" s="147">
        <f t="shared" si="2"/>
        <v>25</v>
      </c>
      <c r="H33" s="201">
        <f>ЭРиТОПСЖД!K37</f>
        <v>186.2</v>
      </c>
      <c r="I33" s="152">
        <f>ЭРиТОПСЖД!L37</f>
        <v>228665</v>
      </c>
      <c r="J33" s="152">
        <f>ЭРиТОПСЖД!Q37</f>
        <v>1451</v>
      </c>
      <c r="K33" s="152">
        <f>ЭРиТОПСЖД!M37</f>
        <v>4424</v>
      </c>
      <c r="L33" s="152">
        <f>ЭРиТОПСЖД!N37</f>
        <v>4424</v>
      </c>
      <c r="M33" s="147" t="e">
        <f>#REF!</f>
        <v>#REF!</v>
      </c>
      <c r="N33" s="152">
        <f>ЭРиТОПСЖД!U37</f>
        <v>22868</v>
      </c>
      <c r="O33" s="152">
        <f>ЭРиТОПСЖД!V37</f>
        <v>261832</v>
      </c>
      <c r="P33" s="152">
        <f>O33</f>
        <v>261832</v>
      </c>
      <c r="Q33" s="374"/>
      <c r="R33" s="144"/>
      <c r="S33" s="196"/>
      <c r="T33" s="143"/>
      <c r="U33" s="144"/>
      <c r="V33" s="144"/>
      <c r="W33" s="143"/>
      <c r="X33" s="143"/>
      <c r="Y33" s="143"/>
      <c r="Z33" s="143"/>
      <c r="AA33" s="143"/>
      <c r="AB33" s="487"/>
      <c r="AC33" s="487"/>
      <c r="AD33" s="487"/>
      <c r="AE33" s="487"/>
      <c r="AF33" s="487"/>
      <c r="AG33" s="487"/>
      <c r="AH33" s="487"/>
      <c r="AI33" s="487"/>
      <c r="AJ33" s="487"/>
      <c r="AK33" s="487"/>
      <c r="AL33" s="487"/>
      <c r="AM33" s="487"/>
      <c r="AN33" s="487"/>
      <c r="AO33" s="487"/>
      <c r="AP33" s="487"/>
      <c r="AQ33" s="487"/>
      <c r="AR33" s="487"/>
      <c r="AS33" s="487"/>
      <c r="AT33" s="487"/>
      <c r="AU33" s="487"/>
      <c r="AV33" s="487"/>
      <c r="AW33" s="487"/>
      <c r="AX33" s="487"/>
    </row>
    <row r="34" spans="1:50" s="149" customFormat="1" ht="31.5" customHeight="1" thickBot="1">
      <c r="A34" s="386"/>
      <c r="B34" s="394"/>
      <c r="C34" s="146" t="str">
        <f>ЭРиТОПСЖД!B55</f>
        <v>Д-17- ЭРиТОПСЖД</v>
      </c>
      <c r="D34" s="147">
        <f>ЭРиТОПСЖД!T50</f>
        <v>3</v>
      </c>
      <c r="E34" s="152">
        <f>ЭРиТОПСЖД!T52</f>
        <v>23</v>
      </c>
      <c r="F34" s="152">
        <f>ЭРиТОПСЖД!T53</f>
        <v>0</v>
      </c>
      <c r="G34" s="147">
        <f t="shared" si="2"/>
        <v>23</v>
      </c>
      <c r="H34" s="153">
        <f>ЭРиТОПСЖД!K69</f>
        <v>149.80000000000001</v>
      </c>
      <c r="I34" s="152">
        <f>ЭРиТОПСЖД!L69</f>
        <v>181588</v>
      </c>
      <c r="J34" s="152">
        <f>ЭРиТОПСЖД!Q69</f>
        <v>0</v>
      </c>
      <c r="K34" s="152">
        <f>ЭРиТОПСЖД!M69</f>
        <v>4424</v>
      </c>
      <c r="L34" s="152">
        <f>ЭРиТОПСЖД!N69</f>
        <v>0</v>
      </c>
      <c r="M34" s="147" t="e">
        <f>#REF!</f>
        <v>#REF!</v>
      </c>
      <c r="N34" s="152">
        <f>ЭРиТОПСЖД!U69</f>
        <v>18159</v>
      </c>
      <c r="O34" s="152">
        <f>ЭРиТОПСЖД!V69</f>
        <v>199747</v>
      </c>
      <c r="P34" s="152">
        <f>O34</f>
        <v>199747</v>
      </c>
      <c r="Q34" s="374"/>
      <c r="R34" s="144"/>
      <c r="S34" s="196"/>
      <c r="T34" s="143"/>
      <c r="U34" s="144"/>
      <c r="V34" s="144"/>
      <c r="W34" s="143"/>
      <c r="X34" s="143"/>
      <c r="Y34" s="143"/>
      <c r="Z34" s="143"/>
      <c r="AA34" s="143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</row>
    <row r="35" spans="1:50" s="156" customFormat="1" ht="18.75" customHeight="1" thickBot="1">
      <c r="A35" s="147"/>
      <c r="B35" s="165" t="s">
        <v>8</v>
      </c>
      <c r="C35" s="146"/>
      <c r="D35" s="147"/>
      <c r="E35" s="150">
        <f t="shared" ref="E35:O35" si="6">SUM(E33:E34)</f>
        <v>48</v>
      </c>
      <c r="F35" s="150">
        <f t="shared" si="6"/>
        <v>0</v>
      </c>
      <c r="G35" s="150">
        <f t="shared" si="6"/>
        <v>48</v>
      </c>
      <c r="H35" s="151">
        <f t="shared" si="6"/>
        <v>336</v>
      </c>
      <c r="I35" s="150">
        <f t="shared" si="6"/>
        <v>410253</v>
      </c>
      <c r="J35" s="150">
        <f t="shared" si="6"/>
        <v>1451</v>
      </c>
      <c r="K35" s="150">
        <f t="shared" si="6"/>
        <v>8848</v>
      </c>
      <c r="L35" s="150">
        <f t="shared" si="6"/>
        <v>4424</v>
      </c>
      <c r="M35" s="150" t="e">
        <f t="shared" si="6"/>
        <v>#REF!</v>
      </c>
      <c r="N35" s="150">
        <f t="shared" si="6"/>
        <v>41027</v>
      </c>
      <c r="O35" s="150">
        <f t="shared" si="6"/>
        <v>461579</v>
      </c>
      <c r="P35" s="150">
        <f>SUM(P33:P34)</f>
        <v>461579</v>
      </c>
      <c r="Q35" s="150">
        <f>SUM(Q33:Q34)</f>
        <v>0</v>
      </c>
      <c r="R35" s="143"/>
      <c r="S35" s="200"/>
      <c r="T35" s="143"/>
      <c r="U35" s="143"/>
      <c r="V35" s="143"/>
      <c r="W35" s="143"/>
      <c r="X35" s="143"/>
      <c r="Y35" s="143"/>
      <c r="Z35" s="143"/>
      <c r="AA35" s="143"/>
      <c r="AB35" s="487"/>
      <c r="AC35" s="487"/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</row>
    <row r="36" spans="1:50" s="149" customFormat="1" ht="15.75" customHeight="1">
      <c r="A36" s="386">
        <v>6</v>
      </c>
      <c r="B36" s="388" t="str">
        <f>[1]ОП!C16</f>
        <v>1203000 Организация перевозок и управление движением на железнодорожном транспорте</v>
      </c>
      <c r="C36" s="195" t="str">
        <f>ОП!B16</f>
        <v>Д-17-ОП</v>
      </c>
      <c r="D36" s="147">
        <f>ОП!T11</f>
        <v>3</v>
      </c>
      <c r="E36" s="152">
        <f>ОП!T13</f>
        <v>22</v>
      </c>
      <c r="F36" s="152">
        <f>ОП!T14</f>
        <v>0</v>
      </c>
      <c r="G36" s="147">
        <f t="shared" si="2"/>
        <v>22</v>
      </c>
      <c r="H36" s="153">
        <f>ОП!K28</f>
        <v>159.9</v>
      </c>
      <c r="I36" s="152">
        <f>ОП!L28</f>
        <v>194383</v>
      </c>
      <c r="J36" s="152">
        <f>ОП!Q28</f>
        <v>0</v>
      </c>
      <c r="K36" s="152">
        <f>ОП!M28</f>
        <v>4424</v>
      </c>
      <c r="L36" s="152">
        <f>ОП!N28</f>
        <v>4424</v>
      </c>
      <c r="M36" s="147" t="e">
        <f>#REF!</f>
        <v>#REF!</v>
      </c>
      <c r="N36" s="152">
        <f>ОП!U28</f>
        <v>19440</v>
      </c>
      <c r="O36" s="152">
        <f>ОП!V28</f>
        <v>222671</v>
      </c>
      <c r="P36" s="152">
        <f>O36</f>
        <v>222671</v>
      </c>
      <c r="Q36" s="374"/>
      <c r="R36" s="144"/>
      <c r="S36" s="144"/>
      <c r="T36" s="143"/>
      <c r="U36" s="144"/>
      <c r="V36" s="144"/>
      <c r="W36" s="143"/>
      <c r="X36" s="143"/>
      <c r="Y36" s="143"/>
      <c r="Z36" s="143"/>
      <c r="AA36" s="143"/>
      <c r="AB36" s="487"/>
      <c r="AC36" s="487"/>
      <c r="AD36" s="487"/>
      <c r="AE36" s="487"/>
      <c r="AF36" s="487"/>
      <c r="AG36" s="487"/>
      <c r="AH36" s="487"/>
      <c r="AI36" s="487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7"/>
      <c r="AU36" s="487"/>
      <c r="AV36" s="487"/>
      <c r="AW36" s="487"/>
      <c r="AX36" s="487"/>
    </row>
    <row r="37" spans="1:50" s="149" customFormat="1" ht="19.5" customHeight="1">
      <c r="A37" s="386"/>
      <c r="B37" s="389"/>
      <c r="C37" s="195" t="str">
        <f>ОП!B46</f>
        <v>Д-16-ОП</v>
      </c>
      <c r="D37" s="147">
        <f>ОП!T41</f>
        <v>4</v>
      </c>
      <c r="E37" s="152">
        <f>ОП!T43</f>
        <v>1</v>
      </c>
      <c r="F37" s="152">
        <f>ОП!T44</f>
        <v>15</v>
      </c>
      <c r="G37" s="147">
        <f t="shared" si="2"/>
        <v>16</v>
      </c>
      <c r="H37" s="201">
        <f>ОП!K56</f>
        <v>151.6</v>
      </c>
      <c r="I37" s="152">
        <f>ОП!L56</f>
        <v>182039</v>
      </c>
      <c r="J37" s="152">
        <f>ОП!Q56</f>
        <v>0</v>
      </c>
      <c r="K37" s="152">
        <f>ОП!M56</f>
        <v>4424</v>
      </c>
      <c r="L37" s="152">
        <f>ОП!N56</f>
        <v>0</v>
      </c>
      <c r="M37" s="147" t="e">
        <f>#REF!</f>
        <v>#REF!</v>
      </c>
      <c r="N37" s="152">
        <f>ОП!U56</f>
        <v>18203</v>
      </c>
      <c r="O37" s="152">
        <f>ОП!V56</f>
        <v>204666</v>
      </c>
      <c r="P37" s="152">
        <f>O37*6.25%</f>
        <v>12792</v>
      </c>
      <c r="Q37" s="152">
        <f>O37-P37</f>
        <v>191874</v>
      </c>
      <c r="R37" s="144"/>
      <c r="S37" s="144"/>
      <c r="T37" s="143"/>
      <c r="U37" s="144"/>
      <c r="V37" s="144"/>
      <c r="W37" s="143"/>
      <c r="X37" s="143"/>
      <c r="Y37" s="143"/>
      <c r="Z37" s="143"/>
      <c r="AA37" s="143"/>
      <c r="AB37" s="487"/>
      <c r="AC37" s="487"/>
      <c r="AD37" s="487"/>
      <c r="AE37" s="487"/>
      <c r="AF37" s="487"/>
      <c r="AG37" s="487"/>
      <c r="AH37" s="487"/>
      <c r="AI37" s="487"/>
      <c r="AJ37" s="487"/>
      <c r="AK37" s="487"/>
      <c r="AL37" s="487"/>
      <c r="AM37" s="487"/>
      <c r="AN37" s="487"/>
      <c r="AO37" s="487"/>
      <c r="AP37" s="487"/>
      <c r="AQ37" s="487"/>
      <c r="AR37" s="487"/>
      <c r="AS37" s="487"/>
      <c r="AT37" s="487"/>
      <c r="AU37" s="487"/>
      <c r="AV37" s="487"/>
      <c r="AW37" s="487"/>
      <c r="AX37" s="487"/>
    </row>
    <row r="38" spans="1:50" s="149" customFormat="1" ht="13.5" hidden="1" customHeight="1" thickBot="1">
      <c r="A38" s="386"/>
      <c r="B38" s="390"/>
      <c r="C38" s="146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374"/>
      <c r="Q38" s="374"/>
      <c r="R38" s="148"/>
      <c r="S38" s="148"/>
      <c r="T38" s="143"/>
      <c r="U38" s="144"/>
      <c r="V38" s="144"/>
      <c r="W38" s="143"/>
      <c r="X38" s="143"/>
      <c r="Y38" s="143"/>
      <c r="Z38" s="143"/>
      <c r="AA38" s="143"/>
      <c r="AB38" s="487"/>
      <c r="AC38" s="487"/>
      <c r="AD38" s="487"/>
      <c r="AE38" s="487"/>
      <c r="AF38" s="487"/>
      <c r="AG38" s="487"/>
      <c r="AH38" s="487"/>
      <c r="AI38" s="487"/>
      <c r="AJ38" s="487"/>
      <c r="AK38" s="487"/>
      <c r="AL38" s="487"/>
      <c r="AM38" s="487"/>
      <c r="AN38" s="487"/>
      <c r="AO38" s="487"/>
      <c r="AP38" s="487"/>
      <c r="AQ38" s="487"/>
      <c r="AR38" s="487"/>
      <c r="AS38" s="487"/>
      <c r="AT38" s="487"/>
      <c r="AU38" s="487"/>
      <c r="AV38" s="487"/>
      <c r="AW38" s="487"/>
      <c r="AX38" s="487"/>
    </row>
    <row r="39" spans="1:50" s="149" customFormat="1">
      <c r="A39" s="147"/>
      <c r="B39" s="165" t="s">
        <v>8</v>
      </c>
      <c r="C39" s="146"/>
      <c r="D39" s="147"/>
      <c r="E39" s="150">
        <f t="shared" ref="E39:O39" si="7">SUM(E36:E38)</f>
        <v>23</v>
      </c>
      <c r="F39" s="150">
        <f t="shared" si="7"/>
        <v>15</v>
      </c>
      <c r="G39" s="150">
        <f t="shared" si="7"/>
        <v>38</v>
      </c>
      <c r="H39" s="151">
        <f t="shared" si="7"/>
        <v>311.5</v>
      </c>
      <c r="I39" s="150">
        <f t="shared" si="7"/>
        <v>376422</v>
      </c>
      <c r="J39" s="150">
        <f t="shared" si="7"/>
        <v>0</v>
      </c>
      <c r="K39" s="150">
        <f t="shared" si="7"/>
        <v>8848</v>
      </c>
      <c r="L39" s="150">
        <f t="shared" si="7"/>
        <v>4424</v>
      </c>
      <c r="M39" s="150" t="e">
        <f t="shared" si="7"/>
        <v>#REF!</v>
      </c>
      <c r="N39" s="150">
        <f t="shared" si="7"/>
        <v>37643</v>
      </c>
      <c r="O39" s="150">
        <f t="shared" si="7"/>
        <v>427337</v>
      </c>
      <c r="P39" s="150">
        <f>SUM(P36:P38)</f>
        <v>235463</v>
      </c>
      <c r="Q39" s="375">
        <f>SUM(Q36:Q38)</f>
        <v>191874</v>
      </c>
      <c r="R39" s="148"/>
      <c r="S39" s="148"/>
      <c r="T39" s="143"/>
      <c r="U39" s="144"/>
      <c r="V39" s="144"/>
      <c r="W39" s="143"/>
      <c r="X39" s="143"/>
      <c r="Y39" s="143"/>
      <c r="Z39" s="143"/>
      <c r="AA39" s="143"/>
      <c r="AB39" s="487"/>
      <c r="AC39" s="487"/>
      <c r="AD39" s="487"/>
      <c r="AE39" s="487"/>
      <c r="AF39" s="487"/>
      <c r="AG39" s="487"/>
      <c r="AH39" s="487"/>
      <c r="AI39" s="487"/>
      <c r="AJ39" s="487"/>
      <c r="AK39" s="487"/>
      <c r="AL39" s="487"/>
      <c r="AM39" s="487"/>
      <c r="AN39" s="487"/>
      <c r="AO39" s="487"/>
      <c r="AP39" s="487"/>
      <c r="AQ39" s="487"/>
      <c r="AR39" s="487"/>
      <c r="AS39" s="487"/>
      <c r="AT39" s="487"/>
      <c r="AU39" s="487"/>
      <c r="AV39" s="487"/>
      <c r="AW39" s="487"/>
      <c r="AX39" s="487"/>
    </row>
    <row r="40" spans="1:50" s="149" customFormat="1" ht="12.75" customHeight="1">
      <c r="A40" s="386">
        <v>7</v>
      </c>
      <c r="B40" s="388" t="str">
        <f>[1]АиУ!C17</f>
        <v>1302000 Автоматизация и управление (по профилю)</v>
      </c>
      <c r="C40" s="146" t="str">
        <f>АиУ!B17</f>
        <v xml:space="preserve">Д-19-АиУ </v>
      </c>
      <c r="D40" s="147">
        <f>АиУ!T11</f>
        <v>1</v>
      </c>
      <c r="E40" s="152">
        <f>АиУ!T13</f>
        <v>0</v>
      </c>
      <c r="F40" s="152">
        <f>АиУ!T14</f>
        <v>26</v>
      </c>
      <c r="G40" s="152">
        <f>E40+F40</f>
        <v>26</v>
      </c>
      <c r="H40" s="147">
        <f>АиУ!K45</f>
        <v>203.4</v>
      </c>
      <c r="I40" s="152">
        <f>АиУ!L45</f>
        <v>252865</v>
      </c>
      <c r="J40" s="152">
        <f>АиУ!Q45</f>
        <v>4600</v>
      </c>
      <c r="K40" s="147">
        <f>АиУ!M45</f>
        <v>4424</v>
      </c>
      <c r="L40" s="147">
        <f>АиУ!N45</f>
        <v>0</v>
      </c>
      <c r="M40" s="147"/>
      <c r="N40" s="152">
        <f>АиУ!U45</f>
        <v>25288</v>
      </c>
      <c r="O40" s="152">
        <f>АиУ!V45</f>
        <v>287177</v>
      </c>
      <c r="P40" s="152"/>
      <c r="Q40" s="152">
        <f>O40</f>
        <v>287177</v>
      </c>
      <c r="R40" s="144"/>
      <c r="S40" s="196"/>
      <c r="T40" s="143"/>
      <c r="U40" s="144"/>
      <c r="V40" s="144"/>
      <c r="W40" s="143"/>
      <c r="X40" s="143"/>
      <c r="Y40" s="143"/>
      <c r="Z40" s="143"/>
      <c r="AA40" s="143"/>
      <c r="AB40" s="487"/>
      <c r="AC40" s="487"/>
      <c r="AD40" s="487"/>
      <c r="AE40" s="487"/>
      <c r="AF40" s="487"/>
      <c r="AG40" s="487"/>
      <c r="AH40" s="487"/>
      <c r="AI40" s="487"/>
      <c r="AJ40" s="487"/>
      <c r="AK40" s="487"/>
      <c r="AL40" s="487"/>
      <c r="AM40" s="487"/>
      <c r="AN40" s="487"/>
      <c r="AO40" s="487"/>
      <c r="AP40" s="487"/>
      <c r="AQ40" s="487"/>
      <c r="AR40" s="487"/>
      <c r="AS40" s="487"/>
      <c r="AT40" s="487"/>
      <c r="AU40" s="487"/>
      <c r="AV40" s="487"/>
      <c r="AW40" s="487"/>
      <c r="AX40" s="487"/>
    </row>
    <row r="41" spans="1:50" s="149" customFormat="1" ht="12.75" customHeight="1">
      <c r="A41" s="386"/>
      <c r="B41" s="389"/>
      <c r="C41" s="146" t="str">
        <f>АиУ!B64</f>
        <v>Д-18-АиУ -1</v>
      </c>
      <c r="D41" s="147">
        <f>АиУ!T58</f>
        <v>2</v>
      </c>
      <c r="E41" s="152">
        <f>АиУ!T60</f>
        <v>0</v>
      </c>
      <c r="F41" s="152">
        <f>АиУ!T61</f>
        <v>24</v>
      </c>
      <c r="G41" s="152">
        <f t="shared" ref="G41:G46" si="8">E41+F41</f>
        <v>24</v>
      </c>
      <c r="H41" s="153">
        <f>АиУ!K85</f>
        <v>214.6</v>
      </c>
      <c r="I41" s="152">
        <f>АиУ!L85</f>
        <v>268594</v>
      </c>
      <c r="J41" s="152">
        <f>АиУ!Q85</f>
        <v>1058</v>
      </c>
      <c r="K41" s="147">
        <f>АиУ!M85</f>
        <v>4424</v>
      </c>
      <c r="L41" s="147">
        <f>АиУ!N85</f>
        <v>4424</v>
      </c>
      <c r="M41" s="147"/>
      <c r="N41" s="152">
        <f>АиУ!U85</f>
        <v>26859</v>
      </c>
      <c r="O41" s="152">
        <f>АиУ!V85</f>
        <v>305359</v>
      </c>
      <c r="P41" s="152"/>
      <c r="Q41" s="152">
        <f>O41</f>
        <v>305359</v>
      </c>
      <c r="R41" s="144"/>
      <c r="S41" s="144"/>
      <c r="T41" s="143"/>
      <c r="U41" s="144"/>
      <c r="V41" s="144"/>
      <c r="W41" s="143"/>
      <c r="X41" s="143"/>
      <c r="Y41" s="143"/>
      <c r="Z41" s="143"/>
      <c r="AA41" s="143"/>
      <c r="AB41" s="487"/>
      <c r="AC41" s="487"/>
      <c r="AD41" s="487"/>
      <c r="AE41" s="487"/>
      <c r="AF41" s="487"/>
      <c r="AG41" s="487"/>
      <c r="AH41" s="487"/>
      <c r="AI41" s="487"/>
      <c r="AJ41" s="487"/>
      <c r="AK41" s="487"/>
      <c r="AL41" s="487"/>
      <c r="AM41" s="487"/>
      <c r="AN41" s="487"/>
      <c r="AO41" s="487"/>
      <c r="AP41" s="487"/>
      <c r="AQ41" s="487"/>
      <c r="AR41" s="487"/>
      <c r="AS41" s="487"/>
      <c r="AT41" s="487"/>
      <c r="AU41" s="487"/>
      <c r="AV41" s="487"/>
      <c r="AW41" s="487"/>
      <c r="AX41" s="487"/>
    </row>
    <row r="42" spans="1:50" s="149" customFormat="1" ht="12.75" customHeight="1">
      <c r="A42" s="386"/>
      <c r="B42" s="389"/>
      <c r="C42" s="146" t="str">
        <f>АиУ!B103</f>
        <v>Д-18-АиУ-2</v>
      </c>
      <c r="D42" s="147">
        <f>АиУ!T97</f>
        <v>2</v>
      </c>
      <c r="E42" s="152">
        <f>АиУ!T99</f>
        <v>0</v>
      </c>
      <c r="F42" s="152">
        <f>АиУ!T100</f>
        <v>25</v>
      </c>
      <c r="G42" s="152">
        <f t="shared" si="8"/>
        <v>25</v>
      </c>
      <c r="H42" s="153">
        <f>АиУ!K126</f>
        <v>214.6</v>
      </c>
      <c r="I42" s="152">
        <f>АиУ!L126</f>
        <v>266518</v>
      </c>
      <c r="J42" s="152">
        <f>АиУ!Q126</f>
        <v>1058</v>
      </c>
      <c r="K42" s="147">
        <f>АиУ!M126</f>
        <v>4424</v>
      </c>
      <c r="L42" s="147">
        <f>АиУ!N126</f>
        <v>4424</v>
      </c>
      <c r="M42" s="147"/>
      <c r="N42" s="152">
        <f>АиУ!U126</f>
        <v>26650</v>
      </c>
      <c r="O42" s="152">
        <f>АиУ!V126</f>
        <v>303074</v>
      </c>
      <c r="P42" s="152"/>
      <c r="Q42" s="152">
        <f>O42</f>
        <v>303074</v>
      </c>
      <c r="R42" s="144"/>
      <c r="S42" s="144"/>
      <c r="T42" s="143"/>
      <c r="U42" s="144"/>
      <c r="V42" s="144"/>
      <c r="W42" s="143"/>
      <c r="X42" s="143"/>
      <c r="Y42" s="143"/>
      <c r="Z42" s="143"/>
      <c r="AA42" s="143"/>
      <c r="AB42" s="487"/>
      <c r="AC42" s="487"/>
      <c r="AD42" s="487"/>
      <c r="AE42" s="487"/>
      <c r="AF42" s="487"/>
      <c r="AG42" s="487"/>
      <c r="AH42" s="487"/>
      <c r="AI42" s="487"/>
      <c r="AJ42" s="487"/>
      <c r="AK42" s="487"/>
      <c r="AL42" s="487"/>
      <c r="AM42" s="487"/>
      <c r="AN42" s="487"/>
      <c r="AO42" s="487"/>
      <c r="AP42" s="487"/>
      <c r="AQ42" s="487"/>
      <c r="AR42" s="487"/>
      <c r="AS42" s="487"/>
      <c r="AT42" s="487"/>
      <c r="AU42" s="487"/>
      <c r="AV42" s="487"/>
      <c r="AW42" s="487"/>
      <c r="AX42" s="487"/>
    </row>
    <row r="43" spans="1:50" s="149" customFormat="1" ht="12.75" customHeight="1">
      <c r="A43" s="386"/>
      <c r="B43" s="389"/>
      <c r="C43" s="146" t="str">
        <f>АиУ!B144</f>
        <v>Д-17-АиУ-1</v>
      </c>
      <c r="D43" s="147">
        <f>АиУ!T138</f>
        <v>3</v>
      </c>
      <c r="E43" s="152">
        <f>АиУ!T140</f>
        <v>26</v>
      </c>
      <c r="F43" s="152">
        <f>АиУ!T141</f>
        <v>0</v>
      </c>
      <c r="G43" s="152">
        <f t="shared" si="8"/>
        <v>26</v>
      </c>
      <c r="H43" s="153">
        <f>АиУ!K156</f>
        <v>163</v>
      </c>
      <c r="I43" s="152">
        <f>АиУ!L156</f>
        <v>197478</v>
      </c>
      <c r="J43" s="152">
        <f>АиУ!Q156</f>
        <v>0</v>
      </c>
      <c r="K43" s="147">
        <f>АиУ!M156</f>
        <v>4424</v>
      </c>
      <c r="L43" s="147">
        <f>АиУ!N156</f>
        <v>4424</v>
      </c>
      <c r="M43" s="147"/>
      <c r="N43" s="152">
        <f>АиУ!U156</f>
        <v>19747</v>
      </c>
      <c r="O43" s="152">
        <f>АиУ!V156</f>
        <v>226073</v>
      </c>
      <c r="P43" s="152">
        <f>O43</f>
        <v>226073</v>
      </c>
      <c r="Q43" s="374"/>
      <c r="R43" s="144"/>
      <c r="S43" s="144"/>
      <c r="T43" s="143"/>
      <c r="U43" s="144"/>
      <c r="V43" s="144"/>
      <c r="W43" s="143"/>
      <c r="X43" s="143"/>
      <c r="Y43" s="143"/>
      <c r="Z43" s="143"/>
      <c r="AA43" s="143"/>
      <c r="AB43" s="487"/>
      <c r="AC43" s="487"/>
      <c r="AD43" s="487"/>
      <c r="AE43" s="487"/>
      <c r="AF43" s="487"/>
      <c r="AG43" s="487"/>
      <c r="AH43" s="487"/>
      <c r="AI43" s="487"/>
      <c r="AJ43" s="487"/>
      <c r="AK43" s="487"/>
      <c r="AL43" s="487"/>
      <c r="AM43" s="487"/>
      <c r="AN43" s="487"/>
      <c r="AO43" s="487"/>
      <c r="AP43" s="487"/>
      <c r="AQ43" s="487"/>
      <c r="AR43" s="487"/>
      <c r="AS43" s="487"/>
      <c r="AT43" s="487"/>
      <c r="AU43" s="487"/>
      <c r="AV43" s="487"/>
      <c r="AW43" s="487"/>
      <c r="AX43" s="487"/>
    </row>
    <row r="44" spans="1:50" s="149" customFormat="1" ht="12.75" customHeight="1">
      <c r="A44" s="386"/>
      <c r="B44" s="389"/>
      <c r="C44" s="146" t="str">
        <f>АиУ!B174</f>
        <v>Д-17-АиУ-2</v>
      </c>
      <c r="D44" s="147">
        <f>АиУ!T168</f>
        <v>3</v>
      </c>
      <c r="E44" s="152">
        <f>АиУ!T170</f>
        <v>0</v>
      </c>
      <c r="F44" s="152">
        <f>АиУ!T171</f>
        <v>15</v>
      </c>
      <c r="G44" s="152">
        <f t="shared" si="8"/>
        <v>15</v>
      </c>
      <c r="H44" s="153">
        <f>АиУ!K187</f>
        <v>155.5</v>
      </c>
      <c r="I44" s="152">
        <f>АиУ!L187</f>
        <v>191910</v>
      </c>
      <c r="J44" s="153">
        <f>АиУ!Q187</f>
        <v>0</v>
      </c>
      <c r="K44" s="153">
        <f>АиУ!M187</f>
        <v>4424</v>
      </c>
      <c r="L44" s="152">
        <f>АиУ!N187</f>
        <v>4424</v>
      </c>
      <c r="M44" s="153"/>
      <c r="N44" s="153">
        <f>АиУ!U187</f>
        <v>19192</v>
      </c>
      <c r="O44" s="153">
        <f>АиУ!V187</f>
        <v>219950</v>
      </c>
      <c r="P44" s="153"/>
      <c r="Q44" s="153">
        <f>O44</f>
        <v>219950</v>
      </c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487"/>
      <c r="AC44" s="487"/>
      <c r="AD44" s="487"/>
      <c r="AE44" s="487"/>
      <c r="AF44" s="487"/>
      <c r="AG44" s="487"/>
      <c r="AH44" s="487"/>
      <c r="AI44" s="487"/>
      <c r="AJ44" s="487"/>
      <c r="AK44" s="487"/>
      <c r="AL44" s="487"/>
      <c r="AM44" s="487"/>
      <c r="AN44" s="487"/>
      <c r="AO44" s="487"/>
      <c r="AP44" s="487"/>
      <c r="AQ44" s="487"/>
      <c r="AR44" s="487"/>
      <c r="AS44" s="487"/>
      <c r="AT44" s="487"/>
      <c r="AU44" s="487"/>
      <c r="AV44" s="487"/>
      <c r="AW44" s="487"/>
      <c r="AX44" s="487"/>
    </row>
    <row r="45" spans="1:50" s="149" customFormat="1" ht="12.75" customHeight="1">
      <c r="A45" s="386"/>
      <c r="B45" s="389"/>
      <c r="C45" s="146" t="str">
        <f>АиУ!B206</f>
        <v>Д-16-АиУ-1</v>
      </c>
      <c r="D45" s="147">
        <f>АиУ!T200</f>
        <v>4</v>
      </c>
      <c r="E45" s="152">
        <f>АиУ!T202</f>
        <v>24</v>
      </c>
      <c r="F45" s="152">
        <f>АиУ!T203</f>
        <v>0</v>
      </c>
      <c r="G45" s="152">
        <f t="shared" si="8"/>
        <v>24</v>
      </c>
      <c r="H45" s="153">
        <f>АиУ!K220</f>
        <v>154.6</v>
      </c>
      <c r="I45" s="152">
        <f>АиУ!L220</f>
        <v>187867</v>
      </c>
      <c r="J45" s="153">
        <f>АиУ!Q220</f>
        <v>0</v>
      </c>
      <c r="K45" s="153">
        <f>АиУ!M220</f>
        <v>4424</v>
      </c>
      <c r="L45" s="152">
        <f>АиУ!N220</f>
        <v>4424</v>
      </c>
      <c r="M45" s="153"/>
      <c r="N45" s="153">
        <f>АиУ!U220</f>
        <v>18788</v>
      </c>
      <c r="O45" s="153">
        <f>АиУ!V220</f>
        <v>215503</v>
      </c>
      <c r="P45" s="153">
        <f>O45</f>
        <v>215503</v>
      </c>
      <c r="Q45" s="374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487"/>
      <c r="AC45" s="487"/>
      <c r="AD45" s="487"/>
      <c r="AE45" s="487"/>
      <c r="AF45" s="487"/>
      <c r="AG45" s="487"/>
      <c r="AH45" s="487"/>
      <c r="AI45" s="487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87"/>
      <c r="AU45" s="487"/>
      <c r="AV45" s="487"/>
      <c r="AW45" s="487"/>
      <c r="AX45" s="487"/>
    </row>
    <row r="46" spans="1:50" s="149" customFormat="1" ht="12.75" customHeight="1" thickBot="1">
      <c r="A46" s="386"/>
      <c r="B46" s="390"/>
      <c r="C46" s="146" t="str">
        <f>АиУ!B239</f>
        <v>Д-16-АиУ-2</v>
      </c>
      <c r="D46" s="147">
        <f>АиУ!T233</f>
        <v>4</v>
      </c>
      <c r="E46" s="152">
        <f>АиУ!T235</f>
        <v>0</v>
      </c>
      <c r="F46" s="152">
        <f>АиУ!T236</f>
        <v>16</v>
      </c>
      <c r="G46" s="152">
        <f t="shared" si="8"/>
        <v>16</v>
      </c>
      <c r="H46" s="153">
        <f>АиУ!K251</f>
        <v>153.80000000000001</v>
      </c>
      <c r="I46" s="152">
        <f>АиУ!L251</f>
        <v>185191</v>
      </c>
      <c r="J46" s="153">
        <f>АиУ!Q251</f>
        <v>0</v>
      </c>
      <c r="K46" s="153">
        <f>АиУ!M251</f>
        <v>4424</v>
      </c>
      <c r="L46" s="152">
        <f>АиУ!N251</f>
        <v>0</v>
      </c>
      <c r="M46" s="153"/>
      <c r="N46" s="153">
        <f>АиУ!U251</f>
        <v>18521</v>
      </c>
      <c r="O46" s="153">
        <f>АиУ!V251</f>
        <v>208136</v>
      </c>
      <c r="P46" s="153"/>
      <c r="Q46" s="153">
        <f>O46</f>
        <v>208136</v>
      </c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487"/>
      <c r="AC46" s="487"/>
      <c r="AD46" s="487"/>
      <c r="AE46" s="487"/>
      <c r="AF46" s="487"/>
      <c r="AG46" s="487"/>
      <c r="AH46" s="487"/>
      <c r="AI46" s="487"/>
      <c r="AJ46" s="487"/>
      <c r="AK46" s="487"/>
      <c r="AL46" s="487"/>
      <c r="AM46" s="487"/>
      <c r="AN46" s="487"/>
      <c r="AO46" s="487"/>
      <c r="AP46" s="487"/>
      <c r="AQ46" s="487"/>
      <c r="AR46" s="487"/>
      <c r="AS46" s="487"/>
      <c r="AT46" s="487"/>
      <c r="AU46" s="487"/>
      <c r="AV46" s="487"/>
      <c r="AW46" s="487"/>
      <c r="AX46" s="487"/>
    </row>
    <row r="47" spans="1:50" s="156" customFormat="1" ht="12.75" customHeight="1" thickBot="1">
      <c r="A47" s="386"/>
      <c r="B47" s="154" t="s">
        <v>8</v>
      </c>
      <c r="C47" s="155"/>
      <c r="D47" s="147"/>
      <c r="E47" s="150">
        <f t="shared" ref="E47:M47" si="9">E40+E41+E42+E43+E44+E45+E46</f>
        <v>50</v>
      </c>
      <c r="F47" s="150">
        <f t="shared" si="9"/>
        <v>106</v>
      </c>
      <c r="G47" s="150">
        <f t="shared" si="9"/>
        <v>156</v>
      </c>
      <c r="H47" s="151">
        <f t="shared" si="9"/>
        <v>1259.5</v>
      </c>
      <c r="I47" s="150">
        <f t="shared" si="9"/>
        <v>1550423</v>
      </c>
      <c r="J47" s="150">
        <f t="shared" si="9"/>
        <v>6716</v>
      </c>
      <c r="K47" s="150">
        <f t="shared" si="9"/>
        <v>30968</v>
      </c>
      <c r="L47" s="150">
        <f t="shared" si="9"/>
        <v>22120</v>
      </c>
      <c r="M47" s="150">
        <f t="shared" si="9"/>
        <v>0</v>
      </c>
      <c r="N47" s="150">
        <f>N40+N41+N42+N43+N44+N45+N46</f>
        <v>155045</v>
      </c>
      <c r="O47" s="150">
        <f>O40+O41+O42+O43+O44+O45+O46</f>
        <v>1765272</v>
      </c>
      <c r="P47" s="150">
        <f>SUM(P40:P46)</f>
        <v>441576</v>
      </c>
      <c r="Q47" s="150">
        <f>SUM(Q40:Q46)</f>
        <v>1323696</v>
      </c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487"/>
      <c r="AC47" s="487"/>
      <c r="AD47" s="487"/>
      <c r="AE47" s="487"/>
      <c r="AF47" s="487"/>
      <c r="AG47" s="487"/>
      <c r="AH47" s="487"/>
      <c r="AI47" s="487"/>
      <c r="AJ47" s="487"/>
      <c r="AK47" s="487"/>
      <c r="AL47" s="487"/>
      <c r="AM47" s="487"/>
      <c r="AN47" s="487"/>
      <c r="AO47" s="487"/>
      <c r="AP47" s="487"/>
      <c r="AQ47" s="487"/>
      <c r="AR47" s="487"/>
      <c r="AS47" s="487"/>
      <c r="AT47" s="487"/>
      <c r="AU47" s="487"/>
      <c r="AV47" s="487"/>
      <c r="AW47" s="487"/>
      <c r="AX47" s="487"/>
    </row>
    <row r="48" spans="1:50" s="145" customFormat="1">
      <c r="A48" s="157"/>
      <c r="B48" s="387" t="s">
        <v>285</v>
      </c>
      <c r="C48" s="387"/>
      <c r="D48" s="387"/>
      <c r="E48" s="141">
        <f t="shared" ref="E48:Q48" si="10">E14+E18+E27+E32+E35+E39+E47</f>
        <v>397</v>
      </c>
      <c r="F48" s="141">
        <f t="shared" si="10"/>
        <v>316</v>
      </c>
      <c r="G48" s="141">
        <f t="shared" si="10"/>
        <v>713</v>
      </c>
      <c r="H48" s="491">
        <f t="shared" si="10"/>
        <v>5456.8</v>
      </c>
      <c r="I48" s="141">
        <f t="shared" si="10"/>
        <v>6702773</v>
      </c>
      <c r="J48" s="141">
        <f t="shared" si="10"/>
        <v>36774</v>
      </c>
      <c r="K48" s="141">
        <f t="shared" si="10"/>
        <v>141568</v>
      </c>
      <c r="L48" s="141">
        <f t="shared" si="10"/>
        <v>68130</v>
      </c>
      <c r="M48" s="141" t="e">
        <f t="shared" si="10"/>
        <v>#REF!</v>
      </c>
      <c r="N48" s="141">
        <f t="shared" si="10"/>
        <v>670306</v>
      </c>
      <c r="O48" s="141">
        <f t="shared" si="10"/>
        <v>7615127</v>
      </c>
      <c r="P48" s="141">
        <f>P14+P18+P27+P32+P35+P39+P47</f>
        <v>3866752</v>
      </c>
      <c r="Q48" s="141">
        <f t="shared" si="10"/>
        <v>3748375</v>
      </c>
      <c r="R48" s="142"/>
      <c r="S48" s="142"/>
      <c r="T48" s="158"/>
      <c r="U48" s="142"/>
      <c r="V48" s="142"/>
      <c r="W48" s="158"/>
      <c r="X48" s="158"/>
      <c r="Y48" s="158"/>
      <c r="Z48" s="158"/>
      <c r="AA48" s="158"/>
      <c r="AB48" s="488"/>
      <c r="AC48" s="488"/>
      <c r="AD48" s="488"/>
      <c r="AE48" s="488"/>
      <c r="AF48" s="488"/>
      <c r="AG48" s="488"/>
      <c r="AH48" s="488"/>
      <c r="AI48" s="488"/>
      <c r="AJ48" s="488"/>
      <c r="AK48" s="488"/>
      <c r="AL48" s="488"/>
      <c r="AM48" s="488"/>
      <c r="AN48" s="488"/>
      <c r="AO48" s="488"/>
      <c r="AP48" s="488"/>
      <c r="AQ48" s="488"/>
      <c r="AR48" s="488"/>
      <c r="AS48" s="488"/>
      <c r="AT48" s="488"/>
      <c r="AU48" s="488"/>
      <c r="AV48" s="488"/>
      <c r="AW48" s="488"/>
      <c r="AX48" s="488"/>
    </row>
    <row r="49" spans="1:50" s="145" customFormat="1">
      <c r="A49" s="158"/>
      <c r="B49" s="159"/>
      <c r="C49" s="159"/>
      <c r="D49" s="161"/>
      <c r="M49" s="160"/>
      <c r="N49" s="160"/>
      <c r="O49" s="160"/>
      <c r="P49" s="160"/>
      <c r="Q49" s="379"/>
      <c r="R49" s="142"/>
      <c r="S49" s="142"/>
      <c r="T49" s="158"/>
      <c r="U49" s="142"/>
      <c r="V49" s="142"/>
      <c r="W49" s="158"/>
      <c r="X49" s="158"/>
      <c r="Y49" s="158"/>
      <c r="Z49" s="158"/>
      <c r="AA49" s="158"/>
      <c r="AB49" s="488"/>
      <c r="AC49" s="488"/>
      <c r="AD49" s="488"/>
      <c r="AE49" s="488"/>
      <c r="AF49" s="488"/>
      <c r="AG49" s="488"/>
      <c r="AH49" s="488"/>
      <c r="AI49" s="488"/>
      <c r="AJ49" s="488"/>
      <c r="AK49" s="488"/>
      <c r="AL49" s="488"/>
      <c r="AM49" s="488"/>
      <c r="AN49" s="488"/>
      <c r="AO49" s="488"/>
      <c r="AP49" s="488"/>
      <c r="AQ49" s="488"/>
      <c r="AR49" s="488"/>
      <c r="AS49" s="488"/>
      <c r="AT49" s="488"/>
      <c r="AU49" s="488"/>
      <c r="AV49" s="488"/>
      <c r="AW49" s="488"/>
      <c r="AX49" s="488"/>
    </row>
    <row r="50" spans="1:50" s="145" customFormat="1" ht="14.25">
      <c r="A50" s="158"/>
      <c r="B50" s="159"/>
      <c r="C50" s="159"/>
      <c r="D50" s="161"/>
      <c r="E50" s="162" t="s">
        <v>286</v>
      </c>
      <c r="F50" s="162"/>
      <c r="G50" s="163"/>
      <c r="H50" s="163"/>
      <c r="I50" s="163"/>
      <c r="J50" s="163"/>
      <c r="K50" s="162" t="s">
        <v>287</v>
      </c>
      <c r="L50" s="163"/>
      <c r="M50" s="160"/>
      <c r="N50" s="160"/>
      <c r="O50" s="160"/>
      <c r="P50" s="160"/>
      <c r="Q50" s="379"/>
      <c r="R50" s="142"/>
      <c r="S50" s="142"/>
      <c r="T50" s="158"/>
      <c r="U50" s="142"/>
      <c r="V50" s="142"/>
      <c r="W50" s="158"/>
      <c r="X50" s="158"/>
      <c r="Y50" s="158"/>
      <c r="Z50" s="158"/>
      <c r="AA50" s="158"/>
      <c r="AB50" s="488"/>
      <c r="AC50" s="488"/>
      <c r="AD50" s="488"/>
      <c r="AE50" s="488"/>
      <c r="AF50" s="488"/>
      <c r="AG50" s="488"/>
      <c r="AH50" s="488"/>
      <c r="AI50" s="488"/>
      <c r="AJ50" s="488"/>
      <c r="AK50" s="488"/>
      <c r="AL50" s="488"/>
      <c r="AM50" s="488"/>
      <c r="AN50" s="488"/>
      <c r="AO50" s="488"/>
      <c r="AP50" s="488"/>
      <c r="AQ50" s="488"/>
      <c r="AR50" s="488"/>
      <c r="AS50" s="488"/>
      <c r="AT50" s="488"/>
      <c r="AU50" s="488"/>
      <c r="AV50" s="488"/>
      <c r="AW50" s="488"/>
      <c r="AX50" s="488"/>
    </row>
    <row r="51" spans="1:50" s="149" customFormat="1" ht="14.25">
      <c r="A51" s="144"/>
      <c r="B51" s="144"/>
      <c r="C51" s="161"/>
      <c r="D51" s="161"/>
      <c r="E51" s="162"/>
      <c r="F51" s="162"/>
      <c r="G51" s="163"/>
      <c r="H51" s="163"/>
      <c r="I51" s="163"/>
      <c r="J51" s="163"/>
      <c r="K51" s="162"/>
      <c r="L51" s="163"/>
      <c r="M51" s="144"/>
      <c r="N51" s="144"/>
      <c r="O51" s="144"/>
      <c r="P51" s="380"/>
      <c r="Q51" s="380"/>
      <c r="R51" s="144"/>
      <c r="S51" s="144"/>
      <c r="T51" s="143"/>
      <c r="U51" s="144"/>
      <c r="V51" s="144"/>
      <c r="W51" s="143"/>
      <c r="X51" s="143"/>
      <c r="Y51" s="143"/>
      <c r="Z51" s="143"/>
      <c r="AA51" s="143"/>
      <c r="AB51" s="487"/>
      <c r="AC51" s="487"/>
      <c r="AD51" s="487"/>
      <c r="AE51" s="487"/>
      <c r="AF51" s="487"/>
      <c r="AG51" s="487"/>
      <c r="AH51" s="487"/>
      <c r="AI51" s="487"/>
      <c r="AJ51" s="487"/>
      <c r="AK51" s="487"/>
      <c r="AL51" s="487"/>
      <c r="AM51" s="487"/>
      <c r="AN51" s="487"/>
      <c r="AO51" s="487"/>
      <c r="AP51" s="487"/>
      <c r="AQ51" s="487"/>
      <c r="AR51" s="487"/>
      <c r="AS51" s="487"/>
      <c r="AT51" s="487"/>
      <c r="AU51" s="487"/>
      <c r="AV51" s="487"/>
      <c r="AW51" s="487"/>
      <c r="AX51" s="487"/>
    </row>
    <row r="52" spans="1:50" s="149" customFormat="1" ht="14.25">
      <c r="A52" s="144"/>
      <c r="B52" s="144"/>
      <c r="E52" s="162" t="s">
        <v>288</v>
      </c>
      <c r="F52" s="162"/>
      <c r="G52" s="163"/>
      <c r="H52" s="163"/>
      <c r="I52" s="163"/>
      <c r="J52" s="163"/>
      <c r="K52" s="162" t="s">
        <v>289</v>
      </c>
      <c r="L52" s="163"/>
      <c r="M52" s="144"/>
      <c r="N52" s="144"/>
      <c r="O52" s="144"/>
      <c r="P52" s="380"/>
      <c r="Q52" s="380"/>
      <c r="R52" s="144"/>
      <c r="S52" s="144"/>
      <c r="T52" s="144"/>
      <c r="U52" s="144"/>
      <c r="V52" s="144"/>
      <c r="W52" s="143"/>
      <c r="X52" s="143"/>
      <c r="Y52" s="143"/>
      <c r="Z52" s="143"/>
      <c r="AA52" s="143"/>
      <c r="AB52" s="487"/>
      <c r="AC52" s="487"/>
      <c r="AD52" s="487"/>
      <c r="AE52" s="487"/>
      <c r="AF52" s="487"/>
      <c r="AG52" s="487"/>
      <c r="AH52" s="487"/>
      <c r="AI52" s="487"/>
      <c r="AJ52" s="487"/>
      <c r="AK52" s="487"/>
      <c r="AL52" s="487"/>
      <c r="AM52" s="487"/>
      <c r="AN52" s="487"/>
      <c r="AO52" s="487"/>
      <c r="AP52" s="487"/>
      <c r="AQ52" s="487"/>
      <c r="AR52" s="487"/>
      <c r="AS52" s="487"/>
      <c r="AT52" s="487"/>
      <c r="AU52" s="487"/>
      <c r="AV52" s="487"/>
      <c r="AW52" s="487"/>
      <c r="AX52" s="487"/>
    </row>
    <row r="53" spans="1:50" s="149" customFormat="1">
      <c r="A53" s="144"/>
      <c r="B53" s="144"/>
      <c r="L53" s="144"/>
      <c r="M53" s="144"/>
      <c r="N53" s="144"/>
      <c r="O53" s="144"/>
      <c r="P53" s="380"/>
      <c r="Q53" s="380"/>
      <c r="R53" s="144"/>
      <c r="S53" s="144"/>
      <c r="T53" s="144"/>
      <c r="U53" s="144"/>
      <c r="V53" s="144"/>
      <c r="W53" s="143"/>
      <c r="X53" s="143"/>
      <c r="Y53" s="143"/>
      <c r="Z53" s="143"/>
      <c r="AA53" s="143"/>
      <c r="AB53" s="487"/>
      <c r="AC53" s="487"/>
      <c r="AD53" s="487"/>
      <c r="AE53" s="487"/>
      <c r="AF53" s="487"/>
      <c r="AG53" s="487"/>
      <c r="AH53" s="487"/>
      <c r="AI53" s="487"/>
      <c r="AJ53" s="487"/>
      <c r="AK53" s="487"/>
      <c r="AL53" s="487"/>
      <c r="AM53" s="487"/>
      <c r="AN53" s="487"/>
      <c r="AO53" s="487"/>
      <c r="AP53" s="487"/>
      <c r="AQ53" s="487"/>
      <c r="AR53" s="487"/>
      <c r="AS53" s="487"/>
      <c r="AT53" s="487"/>
      <c r="AU53" s="487"/>
      <c r="AV53" s="487"/>
      <c r="AW53" s="487"/>
      <c r="AX53" s="487"/>
    </row>
    <row r="54" spans="1:50" s="149" customFormat="1">
      <c r="A54" s="144"/>
      <c r="B54" s="144"/>
      <c r="L54" s="144"/>
      <c r="M54" s="144"/>
      <c r="N54" s="144"/>
      <c r="O54" s="144"/>
      <c r="P54" s="380"/>
      <c r="Q54" s="380"/>
      <c r="R54" s="144"/>
      <c r="S54" s="144"/>
      <c r="T54" s="144"/>
      <c r="U54" s="144"/>
      <c r="V54" s="144"/>
      <c r="W54" s="143"/>
      <c r="X54" s="143"/>
      <c r="Y54" s="143"/>
      <c r="Z54" s="143"/>
      <c r="AA54" s="143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  <c r="AW54" s="487"/>
      <c r="AX54" s="487"/>
    </row>
    <row r="55" spans="1:50" s="149" customFormat="1">
      <c r="A55" s="144"/>
      <c r="B55" s="144"/>
      <c r="C55" s="161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380"/>
      <c r="Q55" s="380"/>
      <c r="R55" s="144"/>
      <c r="S55" s="144"/>
      <c r="T55" s="144"/>
      <c r="U55" s="144"/>
      <c r="V55" s="144"/>
      <c r="W55" s="143"/>
      <c r="X55" s="143"/>
      <c r="Y55" s="143"/>
      <c r="Z55" s="143"/>
      <c r="AA55" s="143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</row>
    <row r="56" spans="1:50" s="149" customFormat="1">
      <c r="A56" s="144"/>
      <c r="B56" s="144"/>
      <c r="C56" s="161"/>
      <c r="D56" s="144"/>
      <c r="E56" s="196"/>
      <c r="F56" s="144"/>
      <c r="G56" s="199"/>
      <c r="H56" s="144"/>
      <c r="I56" s="196"/>
      <c r="J56" s="196"/>
      <c r="K56" s="196"/>
      <c r="L56" s="196"/>
      <c r="M56" s="196"/>
      <c r="N56" s="196"/>
      <c r="O56" s="196"/>
      <c r="P56" s="381"/>
      <c r="Q56" s="380"/>
      <c r="R56" s="144"/>
      <c r="S56" s="144"/>
      <c r="T56" s="144"/>
      <c r="U56" s="144"/>
      <c r="V56" s="144"/>
      <c r="W56" s="143"/>
      <c r="X56" s="143"/>
      <c r="Y56" s="143"/>
      <c r="Z56" s="143"/>
      <c r="AA56" s="143"/>
      <c r="AB56" s="487"/>
      <c r="AC56" s="487"/>
      <c r="AD56" s="487"/>
      <c r="AE56" s="487"/>
      <c r="AF56" s="487"/>
      <c r="AG56" s="487"/>
      <c r="AH56" s="487"/>
      <c r="AI56" s="487"/>
      <c r="AJ56" s="487"/>
      <c r="AK56" s="487"/>
      <c r="AL56" s="487"/>
      <c r="AM56" s="487"/>
      <c r="AN56" s="487"/>
      <c r="AO56" s="487"/>
      <c r="AP56" s="487"/>
      <c r="AQ56" s="487"/>
      <c r="AR56" s="487"/>
      <c r="AS56" s="487"/>
      <c r="AT56" s="487"/>
      <c r="AU56" s="487"/>
      <c r="AV56" s="487"/>
      <c r="AW56" s="487"/>
      <c r="AX56" s="487"/>
    </row>
    <row r="57" spans="1:50" s="1" customFormat="1">
      <c r="A57" s="65"/>
      <c r="B57" s="65"/>
      <c r="C57" s="66"/>
      <c r="D57" s="65"/>
      <c r="E57" s="206"/>
      <c r="F57" s="65"/>
      <c r="G57" s="65"/>
      <c r="H57" s="65"/>
      <c r="I57" s="206"/>
      <c r="J57" s="206"/>
      <c r="K57" s="206"/>
      <c r="L57" s="206"/>
      <c r="M57" s="206"/>
      <c r="N57" s="206"/>
      <c r="O57" s="206"/>
      <c r="P57" s="382"/>
      <c r="Q57" s="383"/>
      <c r="R57" s="65"/>
      <c r="S57" s="65"/>
      <c r="T57" s="65"/>
      <c r="U57" s="65"/>
      <c r="V57" s="65"/>
      <c r="W57" s="489"/>
      <c r="X57" s="489"/>
      <c r="Y57" s="489"/>
      <c r="Z57" s="489"/>
      <c r="AA57" s="489"/>
      <c r="AB57" s="490"/>
      <c r="AC57" s="490"/>
      <c r="AD57" s="490"/>
      <c r="AE57" s="490"/>
      <c r="AF57" s="490"/>
      <c r="AG57" s="490"/>
      <c r="AH57" s="490"/>
      <c r="AI57" s="490"/>
      <c r="AJ57" s="490"/>
      <c r="AK57" s="490"/>
      <c r="AL57" s="490"/>
      <c r="AM57" s="490"/>
      <c r="AN57" s="490"/>
      <c r="AO57" s="490"/>
      <c r="AP57" s="490"/>
      <c r="AQ57" s="490"/>
      <c r="AR57" s="490"/>
      <c r="AS57" s="490"/>
      <c r="AT57" s="490"/>
      <c r="AU57" s="490"/>
      <c r="AV57" s="490"/>
      <c r="AW57" s="490"/>
      <c r="AX57" s="490"/>
    </row>
    <row r="58" spans="1:50">
      <c r="E58" s="31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84"/>
    </row>
  </sheetData>
  <mergeCells count="31">
    <mergeCell ref="A5:A6"/>
    <mergeCell ref="B5:B6"/>
    <mergeCell ref="C5:C6"/>
    <mergeCell ref="D5:D6"/>
    <mergeCell ref="E5:G5"/>
    <mergeCell ref="R5:S5"/>
    <mergeCell ref="C1:M1"/>
    <mergeCell ref="C2:M2"/>
    <mergeCell ref="C3:M3"/>
    <mergeCell ref="C4:M4"/>
    <mergeCell ref="H5:H6"/>
    <mergeCell ref="I5:I6"/>
    <mergeCell ref="J5:M5"/>
    <mergeCell ref="N5:N6"/>
    <mergeCell ref="O5:O6"/>
    <mergeCell ref="Q5:Q6"/>
    <mergeCell ref="P5:P6"/>
    <mergeCell ref="A40:A47"/>
    <mergeCell ref="B48:D48"/>
    <mergeCell ref="B40:B46"/>
    <mergeCell ref="B7:B13"/>
    <mergeCell ref="A7:A13"/>
    <mergeCell ref="A28:A30"/>
    <mergeCell ref="B28:B30"/>
    <mergeCell ref="A33:A34"/>
    <mergeCell ref="B33:B34"/>
    <mergeCell ref="A36:A38"/>
    <mergeCell ref="B36:B38"/>
    <mergeCell ref="A15:A17"/>
    <mergeCell ref="B19:B26"/>
    <mergeCell ref="A19:A26"/>
  </mergeCells>
  <pageMargins left="0.98425196850393704" right="0.19685039370078741" top="0.19685039370078741" bottom="0.19685039370078741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824"/>
  <sheetViews>
    <sheetView topLeftCell="A16" workbookViewId="0">
      <selection activeCell="X35" sqref="X35"/>
    </sheetView>
  </sheetViews>
  <sheetFormatPr defaultRowHeight="12.75"/>
  <cols>
    <col min="1" max="1" width="3.140625" style="190" customWidth="1"/>
    <col min="2" max="2" width="31.28515625" style="186" customWidth="1"/>
    <col min="3" max="3" width="47.85546875" style="186" customWidth="1"/>
    <col min="4" max="4" width="8" style="192" customWidth="1"/>
    <col min="5" max="5" width="7" style="193" customWidth="1"/>
    <col min="6" max="6" width="4.5703125" style="192" hidden="1" customWidth="1"/>
    <col min="7" max="7" width="6.85546875" style="192" customWidth="1"/>
    <col min="8" max="8" width="6" style="192" customWidth="1"/>
    <col min="9" max="9" width="5.140625" style="192" hidden="1" customWidth="1"/>
    <col min="10" max="10" width="5.85546875" style="192" customWidth="1"/>
    <col min="11" max="11" width="5.5703125" style="186" hidden="1" customWidth="1"/>
    <col min="12" max="12" width="8.42578125" style="192" customWidth="1"/>
    <col min="13" max="13" width="5.42578125" style="192" hidden="1" customWidth="1"/>
    <col min="14" max="14" width="7.42578125" style="192" customWidth="1"/>
    <col min="15" max="15" width="5.140625" style="186" hidden="1" customWidth="1"/>
    <col min="16" max="16" width="4.7109375" style="186" hidden="1" customWidth="1"/>
    <col min="17" max="17" width="7.7109375" style="192" customWidth="1"/>
    <col min="18" max="18" width="7" style="192" customWidth="1"/>
    <col min="19" max="20" width="5.85546875" style="186" customWidth="1"/>
    <col min="21" max="21" width="8.7109375" style="186" customWidth="1"/>
    <col min="22" max="22" width="7.42578125" style="191" customWidth="1"/>
    <col min="23" max="246" width="9.140625" style="186"/>
    <col min="247" max="247" width="2.42578125" style="186" customWidth="1"/>
    <col min="248" max="248" width="19.42578125" style="186" customWidth="1"/>
    <col min="249" max="249" width="18.5703125" style="186" customWidth="1"/>
    <col min="250" max="250" width="7" style="186" customWidth="1"/>
    <col min="251" max="251" width="6.85546875" style="186" customWidth="1"/>
    <col min="252" max="252" width="0" style="186" hidden="1" customWidth="1"/>
    <col min="253" max="253" width="7" style="186" customWidth="1"/>
    <col min="254" max="254" width="6.7109375" style="186" customWidth="1"/>
    <col min="255" max="255" width="0" style="186" hidden="1" customWidth="1"/>
    <col min="256" max="256" width="6.85546875" style="186" customWidth="1"/>
    <col min="257" max="257" width="5.5703125" style="186" customWidth="1"/>
    <col min="258" max="258" width="0" style="186" hidden="1" customWidth="1"/>
    <col min="259" max="259" width="0.28515625" style="186" customWidth="1"/>
    <col min="260" max="260" width="5.85546875" style="186" customWidth="1"/>
    <col min="261" max="261" width="5.5703125" style="186" customWidth="1"/>
    <col min="262" max="262" width="0" style="186" hidden="1" customWidth="1"/>
    <col min="263" max="263" width="6" style="186" customWidth="1"/>
    <col min="264" max="264" width="5.28515625" style="186" customWidth="1"/>
    <col min="265" max="265" width="0" style="186" hidden="1" customWidth="1"/>
    <col min="266" max="266" width="5.28515625" style="186" customWidth="1"/>
    <col min="267" max="267" width="6.28515625" style="186" customWidth="1"/>
    <col min="268" max="269" width="0" style="186" hidden="1" customWidth="1"/>
    <col min="270" max="270" width="6" style="186" customWidth="1"/>
    <col min="271" max="271" width="5.140625" style="186" customWidth="1"/>
    <col min="272" max="273" width="0" style="186" hidden="1" customWidth="1"/>
    <col min="274" max="274" width="8.7109375" style="186" customWidth="1"/>
    <col min="275" max="275" width="7.42578125" style="186" customWidth="1"/>
    <col min="276" max="502" width="9.140625" style="186"/>
    <col min="503" max="503" width="2.42578125" style="186" customWidth="1"/>
    <col min="504" max="504" width="19.42578125" style="186" customWidth="1"/>
    <col min="505" max="505" width="18.5703125" style="186" customWidth="1"/>
    <col min="506" max="506" width="7" style="186" customWidth="1"/>
    <col min="507" max="507" width="6.85546875" style="186" customWidth="1"/>
    <col min="508" max="508" width="0" style="186" hidden="1" customWidth="1"/>
    <col min="509" max="509" width="7" style="186" customWidth="1"/>
    <col min="510" max="510" width="6.7109375" style="186" customWidth="1"/>
    <col min="511" max="511" width="0" style="186" hidden="1" customWidth="1"/>
    <col min="512" max="512" width="6.85546875" style="186" customWidth="1"/>
    <col min="513" max="513" width="5.5703125" style="186" customWidth="1"/>
    <col min="514" max="514" width="0" style="186" hidden="1" customWidth="1"/>
    <col min="515" max="515" width="0.28515625" style="186" customWidth="1"/>
    <col min="516" max="516" width="5.85546875" style="186" customWidth="1"/>
    <col min="517" max="517" width="5.5703125" style="186" customWidth="1"/>
    <col min="518" max="518" width="0" style="186" hidden="1" customWidth="1"/>
    <col min="519" max="519" width="6" style="186" customWidth="1"/>
    <col min="520" max="520" width="5.28515625" style="186" customWidth="1"/>
    <col min="521" max="521" width="0" style="186" hidden="1" customWidth="1"/>
    <col min="522" max="522" width="5.28515625" style="186" customWidth="1"/>
    <col min="523" max="523" width="6.28515625" style="186" customWidth="1"/>
    <col min="524" max="525" width="0" style="186" hidden="1" customWidth="1"/>
    <col min="526" max="526" width="6" style="186" customWidth="1"/>
    <col min="527" max="527" width="5.140625" style="186" customWidth="1"/>
    <col min="528" max="529" width="0" style="186" hidden="1" customWidth="1"/>
    <col min="530" max="530" width="8.7109375" style="186" customWidth="1"/>
    <col min="531" max="531" width="7.42578125" style="186" customWidth="1"/>
    <col min="532" max="758" width="9.140625" style="186"/>
    <col min="759" max="759" width="2.42578125" style="186" customWidth="1"/>
    <col min="760" max="760" width="19.42578125" style="186" customWidth="1"/>
    <col min="761" max="761" width="18.5703125" style="186" customWidth="1"/>
    <col min="762" max="762" width="7" style="186" customWidth="1"/>
    <col min="763" max="763" width="6.85546875" style="186" customWidth="1"/>
    <col min="764" max="764" width="0" style="186" hidden="1" customWidth="1"/>
    <col min="765" max="765" width="7" style="186" customWidth="1"/>
    <col min="766" max="766" width="6.7109375" style="186" customWidth="1"/>
    <col min="767" max="767" width="0" style="186" hidden="1" customWidth="1"/>
    <col min="768" max="768" width="6.85546875" style="186" customWidth="1"/>
    <col min="769" max="769" width="5.5703125" style="186" customWidth="1"/>
    <col min="770" max="770" width="0" style="186" hidden="1" customWidth="1"/>
    <col min="771" max="771" width="0.28515625" style="186" customWidth="1"/>
    <col min="772" max="772" width="5.85546875" style="186" customWidth="1"/>
    <col min="773" max="773" width="5.5703125" style="186" customWidth="1"/>
    <col min="774" max="774" width="0" style="186" hidden="1" customWidth="1"/>
    <col min="775" max="775" width="6" style="186" customWidth="1"/>
    <col min="776" max="776" width="5.28515625" style="186" customWidth="1"/>
    <col min="777" max="777" width="0" style="186" hidden="1" customWidth="1"/>
    <col min="778" max="778" width="5.28515625" style="186" customWidth="1"/>
    <col min="779" max="779" width="6.28515625" style="186" customWidth="1"/>
    <col min="780" max="781" width="0" style="186" hidden="1" customWidth="1"/>
    <col min="782" max="782" width="6" style="186" customWidth="1"/>
    <col min="783" max="783" width="5.140625" style="186" customWidth="1"/>
    <col min="784" max="785" width="0" style="186" hidden="1" customWidth="1"/>
    <col min="786" max="786" width="8.7109375" style="186" customWidth="1"/>
    <col min="787" max="787" width="7.42578125" style="186" customWidth="1"/>
    <col min="788" max="1014" width="9.140625" style="186"/>
    <col min="1015" max="1015" width="2.42578125" style="186" customWidth="1"/>
    <col min="1016" max="1016" width="19.42578125" style="186" customWidth="1"/>
    <col min="1017" max="1017" width="18.5703125" style="186" customWidth="1"/>
    <col min="1018" max="1018" width="7" style="186" customWidth="1"/>
    <col min="1019" max="1019" width="6.85546875" style="186" customWidth="1"/>
    <col min="1020" max="1020" width="0" style="186" hidden="1" customWidth="1"/>
    <col min="1021" max="1021" width="7" style="186" customWidth="1"/>
    <col min="1022" max="1022" width="6.7109375" style="186" customWidth="1"/>
    <col min="1023" max="1023" width="0" style="186" hidden="1" customWidth="1"/>
    <col min="1024" max="1024" width="6.85546875" style="186" customWidth="1"/>
    <col min="1025" max="1025" width="5.5703125" style="186" customWidth="1"/>
    <col min="1026" max="1026" width="0" style="186" hidden="1" customWidth="1"/>
    <col min="1027" max="1027" width="0.28515625" style="186" customWidth="1"/>
    <col min="1028" max="1028" width="5.85546875" style="186" customWidth="1"/>
    <col min="1029" max="1029" width="5.5703125" style="186" customWidth="1"/>
    <col min="1030" max="1030" width="0" style="186" hidden="1" customWidth="1"/>
    <col min="1031" max="1031" width="6" style="186" customWidth="1"/>
    <col min="1032" max="1032" width="5.28515625" style="186" customWidth="1"/>
    <col min="1033" max="1033" width="0" style="186" hidden="1" customWidth="1"/>
    <col min="1034" max="1034" width="5.28515625" style="186" customWidth="1"/>
    <col min="1035" max="1035" width="6.28515625" style="186" customWidth="1"/>
    <col min="1036" max="1037" width="0" style="186" hidden="1" customWidth="1"/>
    <col min="1038" max="1038" width="6" style="186" customWidth="1"/>
    <col min="1039" max="1039" width="5.140625" style="186" customWidth="1"/>
    <col min="1040" max="1041" width="0" style="186" hidden="1" customWidth="1"/>
    <col min="1042" max="1042" width="8.7109375" style="186" customWidth="1"/>
    <col min="1043" max="1043" width="7.42578125" style="186" customWidth="1"/>
    <col min="1044" max="1270" width="9.140625" style="186"/>
    <col min="1271" max="1271" width="2.42578125" style="186" customWidth="1"/>
    <col min="1272" max="1272" width="19.42578125" style="186" customWidth="1"/>
    <col min="1273" max="1273" width="18.5703125" style="186" customWidth="1"/>
    <col min="1274" max="1274" width="7" style="186" customWidth="1"/>
    <col min="1275" max="1275" width="6.85546875" style="186" customWidth="1"/>
    <col min="1276" max="1276" width="0" style="186" hidden="1" customWidth="1"/>
    <col min="1277" max="1277" width="7" style="186" customWidth="1"/>
    <col min="1278" max="1278" width="6.7109375" style="186" customWidth="1"/>
    <col min="1279" max="1279" width="0" style="186" hidden="1" customWidth="1"/>
    <col min="1280" max="1280" width="6.85546875" style="186" customWidth="1"/>
    <col min="1281" max="1281" width="5.5703125" style="186" customWidth="1"/>
    <col min="1282" max="1282" width="0" style="186" hidden="1" customWidth="1"/>
    <col min="1283" max="1283" width="0.28515625" style="186" customWidth="1"/>
    <col min="1284" max="1284" width="5.85546875" style="186" customWidth="1"/>
    <col min="1285" max="1285" width="5.5703125" style="186" customWidth="1"/>
    <col min="1286" max="1286" width="0" style="186" hidden="1" customWidth="1"/>
    <col min="1287" max="1287" width="6" style="186" customWidth="1"/>
    <col min="1288" max="1288" width="5.28515625" style="186" customWidth="1"/>
    <col min="1289" max="1289" width="0" style="186" hidden="1" customWidth="1"/>
    <col min="1290" max="1290" width="5.28515625" style="186" customWidth="1"/>
    <col min="1291" max="1291" width="6.28515625" style="186" customWidth="1"/>
    <col min="1292" max="1293" width="0" style="186" hidden="1" customWidth="1"/>
    <col min="1294" max="1294" width="6" style="186" customWidth="1"/>
    <col min="1295" max="1295" width="5.140625" style="186" customWidth="1"/>
    <col min="1296" max="1297" width="0" style="186" hidden="1" customWidth="1"/>
    <col min="1298" max="1298" width="8.7109375" style="186" customWidth="1"/>
    <col min="1299" max="1299" width="7.42578125" style="186" customWidth="1"/>
    <col min="1300" max="1526" width="9.140625" style="186"/>
    <col min="1527" max="1527" width="2.42578125" style="186" customWidth="1"/>
    <col min="1528" max="1528" width="19.42578125" style="186" customWidth="1"/>
    <col min="1529" max="1529" width="18.5703125" style="186" customWidth="1"/>
    <col min="1530" max="1530" width="7" style="186" customWidth="1"/>
    <col min="1531" max="1531" width="6.85546875" style="186" customWidth="1"/>
    <col min="1532" max="1532" width="0" style="186" hidden="1" customWidth="1"/>
    <col min="1533" max="1533" width="7" style="186" customWidth="1"/>
    <col min="1534" max="1534" width="6.7109375" style="186" customWidth="1"/>
    <col min="1535" max="1535" width="0" style="186" hidden="1" customWidth="1"/>
    <col min="1536" max="1536" width="6.85546875" style="186" customWidth="1"/>
    <col min="1537" max="1537" width="5.5703125" style="186" customWidth="1"/>
    <col min="1538" max="1538" width="0" style="186" hidden="1" customWidth="1"/>
    <col min="1539" max="1539" width="0.28515625" style="186" customWidth="1"/>
    <col min="1540" max="1540" width="5.85546875" style="186" customWidth="1"/>
    <col min="1541" max="1541" width="5.5703125" style="186" customWidth="1"/>
    <col min="1542" max="1542" width="0" style="186" hidden="1" customWidth="1"/>
    <col min="1543" max="1543" width="6" style="186" customWidth="1"/>
    <col min="1544" max="1544" width="5.28515625" style="186" customWidth="1"/>
    <col min="1545" max="1545" width="0" style="186" hidden="1" customWidth="1"/>
    <col min="1546" max="1546" width="5.28515625" style="186" customWidth="1"/>
    <col min="1547" max="1547" width="6.28515625" style="186" customWidth="1"/>
    <col min="1548" max="1549" width="0" style="186" hidden="1" customWidth="1"/>
    <col min="1550" max="1550" width="6" style="186" customWidth="1"/>
    <col min="1551" max="1551" width="5.140625" style="186" customWidth="1"/>
    <col min="1552" max="1553" width="0" style="186" hidden="1" customWidth="1"/>
    <col min="1554" max="1554" width="8.7109375" style="186" customWidth="1"/>
    <col min="1555" max="1555" width="7.42578125" style="186" customWidth="1"/>
    <col min="1556" max="1782" width="9.140625" style="186"/>
    <col min="1783" max="1783" width="2.42578125" style="186" customWidth="1"/>
    <col min="1784" max="1784" width="19.42578125" style="186" customWidth="1"/>
    <col min="1785" max="1785" width="18.5703125" style="186" customWidth="1"/>
    <col min="1786" max="1786" width="7" style="186" customWidth="1"/>
    <col min="1787" max="1787" width="6.85546875" style="186" customWidth="1"/>
    <col min="1788" max="1788" width="0" style="186" hidden="1" customWidth="1"/>
    <col min="1789" max="1789" width="7" style="186" customWidth="1"/>
    <col min="1790" max="1790" width="6.7109375" style="186" customWidth="1"/>
    <col min="1791" max="1791" width="0" style="186" hidden="1" customWidth="1"/>
    <col min="1792" max="1792" width="6.85546875" style="186" customWidth="1"/>
    <col min="1793" max="1793" width="5.5703125" style="186" customWidth="1"/>
    <col min="1794" max="1794" width="0" style="186" hidden="1" customWidth="1"/>
    <col min="1795" max="1795" width="0.28515625" style="186" customWidth="1"/>
    <col min="1796" max="1796" width="5.85546875" style="186" customWidth="1"/>
    <col min="1797" max="1797" width="5.5703125" style="186" customWidth="1"/>
    <col min="1798" max="1798" width="0" style="186" hidden="1" customWidth="1"/>
    <col min="1799" max="1799" width="6" style="186" customWidth="1"/>
    <col min="1800" max="1800" width="5.28515625" style="186" customWidth="1"/>
    <col min="1801" max="1801" width="0" style="186" hidden="1" customWidth="1"/>
    <col min="1802" max="1802" width="5.28515625" style="186" customWidth="1"/>
    <col min="1803" max="1803" width="6.28515625" style="186" customWidth="1"/>
    <col min="1804" max="1805" width="0" style="186" hidden="1" customWidth="1"/>
    <col min="1806" max="1806" width="6" style="186" customWidth="1"/>
    <col min="1807" max="1807" width="5.140625" style="186" customWidth="1"/>
    <col min="1808" max="1809" width="0" style="186" hidden="1" customWidth="1"/>
    <col min="1810" max="1810" width="8.7109375" style="186" customWidth="1"/>
    <col min="1811" max="1811" width="7.42578125" style="186" customWidth="1"/>
    <col min="1812" max="2038" width="9.140625" style="186"/>
    <col min="2039" max="2039" width="2.42578125" style="186" customWidth="1"/>
    <col min="2040" max="2040" width="19.42578125" style="186" customWidth="1"/>
    <col min="2041" max="2041" width="18.5703125" style="186" customWidth="1"/>
    <col min="2042" max="2042" width="7" style="186" customWidth="1"/>
    <col min="2043" max="2043" width="6.85546875" style="186" customWidth="1"/>
    <col min="2044" max="2044" width="0" style="186" hidden="1" customWidth="1"/>
    <col min="2045" max="2045" width="7" style="186" customWidth="1"/>
    <col min="2046" max="2046" width="6.7109375" style="186" customWidth="1"/>
    <col min="2047" max="2047" width="0" style="186" hidden="1" customWidth="1"/>
    <col min="2048" max="2048" width="6.85546875" style="186" customWidth="1"/>
    <col min="2049" max="2049" width="5.5703125" style="186" customWidth="1"/>
    <col min="2050" max="2050" width="0" style="186" hidden="1" customWidth="1"/>
    <col min="2051" max="2051" width="0.28515625" style="186" customWidth="1"/>
    <col min="2052" max="2052" width="5.85546875" style="186" customWidth="1"/>
    <col min="2053" max="2053" width="5.5703125" style="186" customWidth="1"/>
    <col min="2054" max="2054" width="0" style="186" hidden="1" customWidth="1"/>
    <col min="2055" max="2055" width="6" style="186" customWidth="1"/>
    <col min="2056" max="2056" width="5.28515625" style="186" customWidth="1"/>
    <col min="2057" max="2057" width="0" style="186" hidden="1" customWidth="1"/>
    <col min="2058" max="2058" width="5.28515625" style="186" customWidth="1"/>
    <col min="2059" max="2059" width="6.28515625" style="186" customWidth="1"/>
    <col min="2060" max="2061" width="0" style="186" hidden="1" customWidth="1"/>
    <col min="2062" max="2062" width="6" style="186" customWidth="1"/>
    <col min="2063" max="2063" width="5.140625" style="186" customWidth="1"/>
    <col min="2064" max="2065" width="0" style="186" hidden="1" customWidth="1"/>
    <col min="2066" max="2066" width="8.7109375" style="186" customWidth="1"/>
    <col min="2067" max="2067" width="7.42578125" style="186" customWidth="1"/>
    <col min="2068" max="2294" width="9.140625" style="186"/>
    <col min="2295" max="2295" width="2.42578125" style="186" customWidth="1"/>
    <col min="2296" max="2296" width="19.42578125" style="186" customWidth="1"/>
    <col min="2297" max="2297" width="18.5703125" style="186" customWidth="1"/>
    <col min="2298" max="2298" width="7" style="186" customWidth="1"/>
    <col min="2299" max="2299" width="6.85546875" style="186" customWidth="1"/>
    <col min="2300" max="2300" width="0" style="186" hidden="1" customWidth="1"/>
    <col min="2301" max="2301" width="7" style="186" customWidth="1"/>
    <col min="2302" max="2302" width="6.7109375" style="186" customWidth="1"/>
    <col min="2303" max="2303" width="0" style="186" hidden="1" customWidth="1"/>
    <col min="2304" max="2304" width="6.85546875" style="186" customWidth="1"/>
    <col min="2305" max="2305" width="5.5703125" style="186" customWidth="1"/>
    <col min="2306" max="2306" width="0" style="186" hidden="1" customWidth="1"/>
    <col min="2307" max="2307" width="0.28515625" style="186" customWidth="1"/>
    <col min="2308" max="2308" width="5.85546875" style="186" customWidth="1"/>
    <col min="2309" max="2309" width="5.5703125" style="186" customWidth="1"/>
    <col min="2310" max="2310" width="0" style="186" hidden="1" customWidth="1"/>
    <col min="2311" max="2311" width="6" style="186" customWidth="1"/>
    <col min="2312" max="2312" width="5.28515625" style="186" customWidth="1"/>
    <col min="2313" max="2313" width="0" style="186" hidden="1" customWidth="1"/>
    <col min="2314" max="2314" width="5.28515625" style="186" customWidth="1"/>
    <col min="2315" max="2315" width="6.28515625" style="186" customWidth="1"/>
    <col min="2316" max="2317" width="0" style="186" hidden="1" customWidth="1"/>
    <col min="2318" max="2318" width="6" style="186" customWidth="1"/>
    <col min="2319" max="2319" width="5.140625" style="186" customWidth="1"/>
    <col min="2320" max="2321" width="0" style="186" hidden="1" customWidth="1"/>
    <col min="2322" max="2322" width="8.7109375" style="186" customWidth="1"/>
    <col min="2323" max="2323" width="7.42578125" style="186" customWidth="1"/>
    <col min="2324" max="2550" width="9.140625" style="186"/>
    <col min="2551" max="2551" width="2.42578125" style="186" customWidth="1"/>
    <col min="2552" max="2552" width="19.42578125" style="186" customWidth="1"/>
    <col min="2553" max="2553" width="18.5703125" style="186" customWidth="1"/>
    <col min="2554" max="2554" width="7" style="186" customWidth="1"/>
    <col min="2555" max="2555" width="6.85546875" style="186" customWidth="1"/>
    <col min="2556" max="2556" width="0" style="186" hidden="1" customWidth="1"/>
    <col min="2557" max="2557" width="7" style="186" customWidth="1"/>
    <col min="2558" max="2558" width="6.7109375" style="186" customWidth="1"/>
    <col min="2559" max="2559" width="0" style="186" hidden="1" customWidth="1"/>
    <col min="2560" max="2560" width="6.85546875" style="186" customWidth="1"/>
    <col min="2561" max="2561" width="5.5703125" style="186" customWidth="1"/>
    <col min="2562" max="2562" width="0" style="186" hidden="1" customWidth="1"/>
    <col min="2563" max="2563" width="0.28515625" style="186" customWidth="1"/>
    <col min="2564" max="2564" width="5.85546875" style="186" customWidth="1"/>
    <col min="2565" max="2565" width="5.5703125" style="186" customWidth="1"/>
    <col min="2566" max="2566" width="0" style="186" hidden="1" customWidth="1"/>
    <col min="2567" max="2567" width="6" style="186" customWidth="1"/>
    <col min="2568" max="2568" width="5.28515625" style="186" customWidth="1"/>
    <col min="2569" max="2569" width="0" style="186" hidden="1" customWidth="1"/>
    <col min="2570" max="2570" width="5.28515625" style="186" customWidth="1"/>
    <col min="2571" max="2571" width="6.28515625" style="186" customWidth="1"/>
    <col min="2572" max="2573" width="0" style="186" hidden="1" customWidth="1"/>
    <col min="2574" max="2574" width="6" style="186" customWidth="1"/>
    <col min="2575" max="2575" width="5.140625" style="186" customWidth="1"/>
    <col min="2576" max="2577" width="0" style="186" hidden="1" customWidth="1"/>
    <col min="2578" max="2578" width="8.7109375" style="186" customWidth="1"/>
    <col min="2579" max="2579" width="7.42578125" style="186" customWidth="1"/>
    <col min="2580" max="2806" width="9.140625" style="186"/>
    <col min="2807" max="2807" width="2.42578125" style="186" customWidth="1"/>
    <col min="2808" max="2808" width="19.42578125" style="186" customWidth="1"/>
    <col min="2809" max="2809" width="18.5703125" style="186" customWidth="1"/>
    <col min="2810" max="2810" width="7" style="186" customWidth="1"/>
    <col min="2811" max="2811" width="6.85546875" style="186" customWidth="1"/>
    <col min="2812" max="2812" width="0" style="186" hidden="1" customWidth="1"/>
    <col min="2813" max="2813" width="7" style="186" customWidth="1"/>
    <col min="2814" max="2814" width="6.7109375" style="186" customWidth="1"/>
    <col min="2815" max="2815" width="0" style="186" hidden="1" customWidth="1"/>
    <col min="2816" max="2816" width="6.85546875" style="186" customWidth="1"/>
    <col min="2817" max="2817" width="5.5703125" style="186" customWidth="1"/>
    <col min="2818" max="2818" width="0" style="186" hidden="1" customWidth="1"/>
    <col min="2819" max="2819" width="0.28515625" style="186" customWidth="1"/>
    <col min="2820" max="2820" width="5.85546875" style="186" customWidth="1"/>
    <col min="2821" max="2821" width="5.5703125" style="186" customWidth="1"/>
    <col min="2822" max="2822" width="0" style="186" hidden="1" customWidth="1"/>
    <col min="2823" max="2823" width="6" style="186" customWidth="1"/>
    <col min="2824" max="2824" width="5.28515625" style="186" customWidth="1"/>
    <col min="2825" max="2825" width="0" style="186" hidden="1" customWidth="1"/>
    <col min="2826" max="2826" width="5.28515625" style="186" customWidth="1"/>
    <col min="2827" max="2827" width="6.28515625" style="186" customWidth="1"/>
    <col min="2828" max="2829" width="0" style="186" hidden="1" customWidth="1"/>
    <col min="2830" max="2830" width="6" style="186" customWidth="1"/>
    <col min="2831" max="2831" width="5.140625" style="186" customWidth="1"/>
    <col min="2832" max="2833" width="0" style="186" hidden="1" customWidth="1"/>
    <col min="2834" max="2834" width="8.7109375" style="186" customWidth="1"/>
    <col min="2835" max="2835" width="7.42578125" style="186" customWidth="1"/>
    <col min="2836" max="3062" width="9.140625" style="186"/>
    <col min="3063" max="3063" width="2.42578125" style="186" customWidth="1"/>
    <col min="3064" max="3064" width="19.42578125" style="186" customWidth="1"/>
    <col min="3065" max="3065" width="18.5703125" style="186" customWidth="1"/>
    <col min="3066" max="3066" width="7" style="186" customWidth="1"/>
    <col min="3067" max="3067" width="6.85546875" style="186" customWidth="1"/>
    <col min="3068" max="3068" width="0" style="186" hidden="1" customWidth="1"/>
    <col min="3069" max="3069" width="7" style="186" customWidth="1"/>
    <col min="3070" max="3070" width="6.7109375" style="186" customWidth="1"/>
    <col min="3071" max="3071" width="0" style="186" hidden="1" customWidth="1"/>
    <col min="3072" max="3072" width="6.85546875" style="186" customWidth="1"/>
    <col min="3073" max="3073" width="5.5703125" style="186" customWidth="1"/>
    <col min="3074" max="3074" width="0" style="186" hidden="1" customWidth="1"/>
    <col min="3075" max="3075" width="0.28515625" style="186" customWidth="1"/>
    <col min="3076" max="3076" width="5.85546875" style="186" customWidth="1"/>
    <col min="3077" max="3077" width="5.5703125" style="186" customWidth="1"/>
    <col min="3078" max="3078" width="0" style="186" hidden="1" customWidth="1"/>
    <col min="3079" max="3079" width="6" style="186" customWidth="1"/>
    <col min="3080" max="3080" width="5.28515625" style="186" customWidth="1"/>
    <col min="3081" max="3081" width="0" style="186" hidden="1" customWidth="1"/>
    <col min="3082" max="3082" width="5.28515625" style="186" customWidth="1"/>
    <col min="3083" max="3083" width="6.28515625" style="186" customWidth="1"/>
    <col min="3084" max="3085" width="0" style="186" hidden="1" customWidth="1"/>
    <col min="3086" max="3086" width="6" style="186" customWidth="1"/>
    <col min="3087" max="3087" width="5.140625" style="186" customWidth="1"/>
    <col min="3088" max="3089" width="0" style="186" hidden="1" customWidth="1"/>
    <col min="3090" max="3090" width="8.7109375" style="186" customWidth="1"/>
    <col min="3091" max="3091" width="7.42578125" style="186" customWidth="1"/>
    <col min="3092" max="3318" width="9.140625" style="186"/>
    <col min="3319" max="3319" width="2.42578125" style="186" customWidth="1"/>
    <col min="3320" max="3320" width="19.42578125" style="186" customWidth="1"/>
    <col min="3321" max="3321" width="18.5703125" style="186" customWidth="1"/>
    <col min="3322" max="3322" width="7" style="186" customWidth="1"/>
    <col min="3323" max="3323" width="6.85546875" style="186" customWidth="1"/>
    <col min="3324" max="3324" width="0" style="186" hidden="1" customWidth="1"/>
    <col min="3325" max="3325" width="7" style="186" customWidth="1"/>
    <col min="3326" max="3326" width="6.7109375" style="186" customWidth="1"/>
    <col min="3327" max="3327" width="0" style="186" hidden="1" customWidth="1"/>
    <col min="3328" max="3328" width="6.85546875" style="186" customWidth="1"/>
    <col min="3329" max="3329" width="5.5703125" style="186" customWidth="1"/>
    <col min="3330" max="3330" width="0" style="186" hidden="1" customWidth="1"/>
    <col min="3331" max="3331" width="0.28515625" style="186" customWidth="1"/>
    <col min="3332" max="3332" width="5.85546875" style="186" customWidth="1"/>
    <col min="3333" max="3333" width="5.5703125" style="186" customWidth="1"/>
    <col min="3334" max="3334" width="0" style="186" hidden="1" customWidth="1"/>
    <col min="3335" max="3335" width="6" style="186" customWidth="1"/>
    <col min="3336" max="3336" width="5.28515625" style="186" customWidth="1"/>
    <col min="3337" max="3337" width="0" style="186" hidden="1" customWidth="1"/>
    <col min="3338" max="3338" width="5.28515625" style="186" customWidth="1"/>
    <col min="3339" max="3339" width="6.28515625" style="186" customWidth="1"/>
    <col min="3340" max="3341" width="0" style="186" hidden="1" customWidth="1"/>
    <col min="3342" max="3342" width="6" style="186" customWidth="1"/>
    <col min="3343" max="3343" width="5.140625" style="186" customWidth="1"/>
    <col min="3344" max="3345" width="0" style="186" hidden="1" customWidth="1"/>
    <col min="3346" max="3346" width="8.7109375" style="186" customWidth="1"/>
    <col min="3347" max="3347" width="7.42578125" style="186" customWidth="1"/>
    <col min="3348" max="3574" width="9.140625" style="186"/>
    <col min="3575" max="3575" width="2.42578125" style="186" customWidth="1"/>
    <col min="3576" max="3576" width="19.42578125" style="186" customWidth="1"/>
    <col min="3577" max="3577" width="18.5703125" style="186" customWidth="1"/>
    <col min="3578" max="3578" width="7" style="186" customWidth="1"/>
    <col min="3579" max="3579" width="6.85546875" style="186" customWidth="1"/>
    <col min="3580" max="3580" width="0" style="186" hidden="1" customWidth="1"/>
    <col min="3581" max="3581" width="7" style="186" customWidth="1"/>
    <col min="3582" max="3582" width="6.7109375" style="186" customWidth="1"/>
    <col min="3583" max="3583" width="0" style="186" hidden="1" customWidth="1"/>
    <col min="3584" max="3584" width="6.85546875" style="186" customWidth="1"/>
    <col min="3585" max="3585" width="5.5703125" style="186" customWidth="1"/>
    <col min="3586" max="3586" width="0" style="186" hidden="1" customWidth="1"/>
    <col min="3587" max="3587" width="0.28515625" style="186" customWidth="1"/>
    <col min="3588" max="3588" width="5.85546875" style="186" customWidth="1"/>
    <col min="3589" max="3589" width="5.5703125" style="186" customWidth="1"/>
    <col min="3590" max="3590" width="0" style="186" hidden="1" customWidth="1"/>
    <col min="3591" max="3591" width="6" style="186" customWidth="1"/>
    <col min="3592" max="3592" width="5.28515625" style="186" customWidth="1"/>
    <col min="3593" max="3593" width="0" style="186" hidden="1" customWidth="1"/>
    <col min="3594" max="3594" width="5.28515625" style="186" customWidth="1"/>
    <col min="3595" max="3595" width="6.28515625" style="186" customWidth="1"/>
    <col min="3596" max="3597" width="0" style="186" hidden="1" customWidth="1"/>
    <col min="3598" max="3598" width="6" style="186" customWidth="1"/>
    <col min="3599" max="3599" width="5.140625" style="186" customWidth="1"/>
    <col min="3600" max="3601" width="0" style="186" hidden="1" customWidth="1"/>
    <col min="3602" max="3602" width="8.7109375" style="186" customWidth="1"/>
    <col min="3603" max="3603" width="7.42578125" style="186" customWidth="1"/>
    <col min="3604" max="3830" width="9.140625" style="186"/>
    <col min="3831" max="3831" width="2.42578125" style="186" customWidth="1"/>
    <col min="3832" max="3832" width="19.42578125" style="186" customWidth="1"/>
    <col min="3833" max="3833" width="18.5703125" style="186" customWidth="1"/>
    <col min="3834" max="3834" width="7" style="186" customWidth="1"/>
    <col min="3835" max="3835" width="6.85546875" style="186" customWidth="1"/>
    <col min="3836" max="3836" width="0" style="186" hidden="1" customWidth="1"/>
    <col min="3837" max="3837" width="7" style="186" customWidth="1"/>
    <col min="3838" max="3838" width="6.7109375" style="186" customWidth="1"/>
    <col min="3839" max="3839" width="0" style="186" hidden="1" customWidth="1"/>
    <col min="3840" max="3840" width="6.85546875" style="186" customWidth="1"/>
    <col min="3841" max="3841" width="5.5703125" style="186" customWidth="1"/>
    <col min="3842" max="3842" width="0" style="186" hidden="1" customWidth="1"/>
    <col min="3843" max="3843" width="0.28515625" style="186" customWidth="1"/>
    <col min="3844" max="3844" width="5.85546875" style="186" customWidth="1"/>
    <col min="3845" max="3845" width="5.5703125" style="186" customWidth="1"/>
    <col min="3846" max="3846" width="0" style="186" hidden="1" customWidth="1"/>
    <col min="3847" max="3847" width="6" style="186" customWidth="1"/>
    <col min="3848" max="3848" width="5.28515625" style="186" customWidth="1"/>
    <col min="3849" max="3849" width="0" style="186" hidden="1" customWidth="1"/>
    <col min="3850" max="3850" width="5.28515625" style="186" customWidth="1"/>
    <col min="3851" max="3851" width="6.28515625" style="186" customWidth="1"/>
    <col min="3852" max="3853" width="0" style="186" hidden="1" customWidth="1"/>
    <col min="3854" max="3854" width="6" style="186" customWidth="1"/>
    <col min="3855" max="3855" width="5.140625" style="186" customWidth="1"/>
    <col min="3856" max="3857" width="0" style="186" hidden="1" customWidth="1"/>
    <col min="3858" max="3858" width="8.7109375" style="186" customWidth="1"/>
    <col min="3859" max="3859" width="7.42578125" style="186" customWidth="1"/>
    <col min="3860" max="4086" width="9.140625" style="186"/>
    <col min="4087" max="4087" width="2.42578125" style="186" customWidth="1"/>
    <col min="4088" max="4088" width="19.42578125" style="186" customWidth="1"/>
    <col min="4089" max="4089" width="18.5703125" style="186" customWidth="1"/>
    <col min="4090" max="4090" width="7" style="186" customWidth="1"/>
    <col min="4091" max="4091" width="6.85546875" style="186" customWidth="1"/>
    <col min="4092" max="4092" width="0" style="186" hidden="1" customWidth="1"/>
    <col min="4093" max="4093" width="7" style="186" customWidth="1"/>
    <col min="4094" max="4094" width="6.7109375" style="186" customWidth="1"/>
    <col min="4095" max="4095" width="0" style="186" hidden="1" customWidth="1"/>
    <col min="4096" max="4096" width="6.85546875" style="186" customWidth="1"/>
    <col min="4097" max="4097" width="5.5703125" style="186" customWidth="1"/>
    <col min="4098" max="4098" width="0" style="186" hidden="1" customWidth="1"/>
    <col min="4099" max="4099" width="0.28515625" style="186" customWidth="1"/>
    <col min="4100" max="4100" width="5.85546875" style="186" customWidth="1"/>
    <col min="4101" max="4101" width="5.5703125" style="186" customWidth="1"/>
    <col min="4102" max="4102" width="0" style="186" hidden="1" customWidth="1"/>
    <col min="4103" max="4103" width="6" style="186" customWidth="1"/>
    <col min="4104" max="4104" width="5.28515625" style="186" customWidth="1"/>
    <col min="4105" max="4105" width="0" style="186" hidden="1" customWidth="1"/>
    <col min="4106" max="4106" width="5.28515625" style="186" customWidth="1"/>
    <col min="4107" max="4107" width="6.28515625" style="186" customWidth="1"/>
    <col min="4108" max="4109" width="0" style="186" hidden="1" customWidth="1"/>
    <col min="4110" max="4110" width="6" style="186" customWidth="1"/>
    <col min="4111" max="4111" width="5.140625" style="186" customWidth="1"/>
    <col min="4112" max="4113" width="0" style="186" hidden="1" customWidth="1"/>
    <col min="4114" max="4114" width="8.7109375" style="186" customWidth="1"/>
    <col min="4115" max="4115" width="7.42578125" style="186" customWidth="1"/>
    <col min="4116" max="4342" width="9.140625" style="186"/>
    <col min="4343" max="4343" width="2.42578125" style="186" customWidth="1"/>
    <col min="4344" max="4344" width="19.42578125" style="186" customWidth="1"/>
    <col min="4345" max="4345" width="18.5703125" style="186" customWidth="1"/>
    <col min="4346" max="4346" width="7" style="186" customWidth="1"/>
    <col min="4347" max="4347" width="6.85546875" style="186" customWidth="1"/>
    <col min="4348" max="4348" width="0" style="186" hidden="1" customWidth="1"/>
    <col min="4349" max="4349" width="7" style="186" customWidth="1"/>
    <col min="4350" max="4350" width="6.7109375" style="186" customWidth="1"/>
    <col min="4351" max="4351" width="0" style="186" hidden="1" customWidth="1"/>
    <col min="4352" max="4352" width="6.85546875" style="186" customWidth="1"/>
    <col min="4353" max="4353" width="5.5703125" style="186" customWidth="1"/>
    <col min="4354" max="4354" width="0" style="186" hidden="1" customWidth="1"/>
    <col min="4355" max="4355" width="0.28515625" style="186" customWidth="1"/>
    <col min="4356" max="4356" width="5.85546875" style="186" customWidth="1"/>
    <col min="4357" max="4357" width="5.5703125" style="186" customWidth="1"/>
    <col min="4358" max="4358" width="0" style="186" hidden="1" customWidth="1"/>
    <col min="4359" max="4359" width="6" style="186" customWidth="1"/>
    <col min="4360" max="4360" width="5.28515625" style="186" customWidth="1"/>
    <col min="4361" max="4361" width="0" style="186" hidden="1" customWidth="1"/>
    <col min="4362" max="4362" width="5.28515625" style="186" customWidth="1"/>
    <col min="4363" max="4363" width="6.28515625" style="186" customWidth="1"/>
    <col min="4364" max="4365" width="0" style="186" hidden="1" customWidth="1"/>
    <col min="4366" max="4366" width="6" style="186" customWidth="1"/>
    <col min="4367" max="4367" width="5.140625" style="186" customWidth="1"/>
    <col min="4368" max="4369" width="0" style="186" hidden="1" customWidth="1"/>
    <col min="4370" max="4370" width="8.7109375" style="186" customWidth="1"/>
    <col min="4371" max="4371" width="7.42578125" style="186" customWidth="1"/>
    <col min="4372" max="4598" width="9.140625" style="186"/>
    <col min="4599" max="4599" width="2.42578125" style="186" customWidth="1"/>
    <col min="4600" max="4600" width="19.42578125" style="186" customWidth="1"/>
    <col min="4601" max="4601" width="18.5703125" style="186" customWidth="1"/>
    <col min="4602" max="4602" width="7" style="186" customWidth="1"/>
    <col min="4603" max="4603" width="6.85546875" style="186" customWidth="1"/>
    <col min="4604" max="4604" width="0" style="186" hidden="1" customWidth="1"/>
    <col min="4605" max="4605" width="7" style="186" customWidth="1"/>
    <col min="4606" max="4606" width="6.7109375" style="186" customWidth="1"/>
    <col min="4607" max="4607" width="0" style="186" hidden="1" customWidth="1"/>
    <col min="4608" max="4608" width="6.85546875" style="186" customWidth="1"/>
    <col min="4609" max="4609" width="5.5703125" style="186" customWidth="1"/>
    <col min="4610" max="4610" width="0" style="186" hidden="1" customWidth="1"/>
    <col min="4611" max="4611" width="0.28515625" style="186" customWidth="1"/>
    <col min="4612" max="4612" width="5.85546875" style="186" customWidth="1"/>
    <col min="4613" max="4613" width="5.5703125" style="186" customWidth="1"/>
    <col min="4614" max="4614" width="0" style="186" hidden="1" customWidth="1"/>
    <col min="4615" max="4615" width="6" style="186" customWidth="1"/>
    <col min="4616" max="4616" width="5.28515625" style="186" customWidth="1"/>
    <col min="4617" max="4617" width="0" style="186" hidden="1" customWidth="1"/>
    <col min="4618" max="4618" width="5.28515625" style="186" customWidth="1"/>
    <col min="4619" max="4619" width="6.28515625" style="186" customWidth="1"/>
    <col min="4620" max="4621" width="0" style="186" hidden="1" customWidth="1"/>
    <col min="4622" max="4622" width="6" style="186" customWidth="1"/>
    <col min="4623" max="4623" width="5.140625" style="186" customWidth="1"/>
    <col min="4624" max="4625" width="0" style="186" hidden="1" customWidth="1"/>
    <col min="4626" max="4626" width="8.7109375" style="186" customWidth="1"/>
    <col min="4627" max="4627" width="7.42578125" style="186" customWidth="1"/>
    <col min="4628" max="4854" width="9.140625" style="186"/>
    <col min="4855" max="4855" width="2.42578125" style="186" customWidth="1"/>
    <col min="4856" max="4856" width="19.42578125" style="186" customWidth="1"/>
    <col min="4857" max="4857" width="18.5703125" style="186" customWidth="1"/>
    <col min="4858" max="4858" width="7" style="186" customWidth="1"/>
    <col min="4859" max="4859" width="6.85546875" style="186" customWidth="1"/>
    <col min="4860" max="4860" width="0" style="186" hidden="1" customWidth="1"/>
    <col min="4861" max="4861" width="7" style="186" customWidth="1"/>
    <col min="4862" max="4862" width="6.7109375" style="186" customWidth="1"/>
    <col min="4863" max="4863" width="0" style="186" hidden="1" customWidth="1"/>
    <col min="4864" max="4864" width="6.85546875" style="186" customWidth="1"/>
    <col min="4865" max="4865" width="5.5703125" style="186" customWidth="1"/>
    <col min="4866" max="4866" width="0" style="186" hidden="1" customWidth="1"/>
    <col min="4867" max="4867" width="0.28515625" style="186" customWidth="1"/>
    <col min="4868" max="4868" width="5.85546875" style="186" customWidth="1"/>
    <col min="4869" max="4869" width="5.5703125" style="186" customWidth="1"/>
    <col min="4870" max="4870" width="0" style="186" hidden="1" customWidth="1"/>
    <col min="4871" max="4871" width="6" style="186" customWidth="1"/>
    <col min="4872" max="4872" width="5.28515625" style="186" customWidth="1"/>
    <col min="4873" max="4873" width="0" style="186" hidden="1" customWidth="1"/>
    <col min="4874" max="4874" width="5.28515625" style="186" customWidth="1"/>
    <col min="4875" max="4875" width="6.28515625" style="186" customWidth="1"/>
    <col min="4876" max="4877" width="0" style="186" hidden="1" customWidth="1"/>
    <col min="4878" max="4878" width="6" style="186" customWidth="1"/>
    <col min="4879" max="4879" width="5.140625" style="186" customWidth="1"/>
    <col min="4880" max="4881" width="0" style="186" hidden="1" customWidth="1"/>
    <col min="4882" max="4882" width="8.7109375" style="186" customWidth="1"/>
    <col min="4883" max="4883" width="7.42578125" style="186" customWidth="1"/>
    <col min="4884" max="5110" width="9.140625" style="186"/>
    <col min="5111" max="5111" width="2.42578125" style="186" customWidth="1"/>
    <col min="5112" max="5112" width="19.42578125" style="186" customWidth="1"/>
    <col min="5113" max="5113" width="18.5703125" style="186" customWidth="1"/>
    <col min="5114" max="5114" width="7" style="186" customWidth="1"/>
    <col min="5115" max="5115" width="6.85546875" style="186" customWidth="1"/>
    <col min="5116" max="5116" width="0" style="186" hidden="1" customWidth="1"/>
    <col min="5117" max="5117" width="7" style="186" customWidth="1"/>
    <col min="5118" max="5118" width="6.7109375" style="186" customWidth="1"/>
    <col min="5119" max="5119" width="0" style="186" hidden="1" customWidth="1"/>
    <col min="5120" max="5120" width="6.85546875" style="186" customWidth="1"/>
    <col min="5121" max="5121" width="5.5703125" style="186" customWidth="1"/>
    <col min="5122" max="5122" width="0" style="186" hidden="1" customWidth="1"/>
    <col min="5123" max="5123" width="0.28515625" style="186" customWidth="1"/>
    <col min="5124" max="5124" width="5.85546875" style="186" customWidth="1"/>
    <col min="5125" max="5125" width="5.5703125" style="186" customWidth="1"/>
    <col min="5126" max="5126" width="0" style="186" hidden="1" customWidth="1"/>
    <col min="5127" max="5127" width="6" style="186" customWidth="1"/>
    <col min="5128" max="5128" width="5.28515625" style="186" customWidth="1"/>
    <col min="5129" max="5129" width="0" style="186" hidden="1" customWidth="1"/>
    <col min="5130" max="5130" width="5.28515625" style="186" customWidth="1"/>
    <col min="5131" max="5131" width="6.28515625" style="186" customWidth="1"/>
    <col min="5132" max="5133" width="0" style="186" hidden="1" customWidth="1"/>
    <col min="5134" max="5134" width="6" style="186" customWidth="1"/>
    <col min="5135" max="5135" width="5.140625" style="186" customWidth="1"/>
    <col min="5136" max="5137" width="0" style="186" hidden="1" customWidth="1"/>
    <col min="5138" max="5138" width="8.7109375" style="186" customWidth="1"/>
    <col min="5139" max="5139" width="7.42578125" style="186" customWidth="1"/>
    <col min="5140" max="5366" width="9.140625" style="186"/>
    <col min="5367" max="5367" width="2.42578125" style="186" customWidth="1"/>
    <col min="5368" max="5368" width="19.42578125" style="186" customWidth="1"/>
    <col min="5369" max="5369" width="18.5703125" style="186" customWidth="1"/>
    <col min="5370" max="5370" width="7" style="186" customWidth="1"/>
    <col min="5371" max="5371" width="6.85546875" style="186" customWidth="1"/>
    <col min="5372" max="5372" width="0" style="186" hidden="1" customWidth="1"/>
    <col min="5373" max="5373" width="7" style="186" customWidth="1"/>
    <col min="5374" max="5374" width="6.7109375" style="186" customWidth="1"/>
    <col min="5375" max="5375" width="0" style="186" hidden="1" customWidth="1"/>
    <col min="5376" max="5376" width="6.85546875" style="186" customWidth="1"/>
    <col min="5377" max="5377" width="5.5703125" style="186" customWidth="1"/>
    <col min="5378" max="5378" width="0" style="186" hidden="1" customWidth="1"/>
    <col min="5379" max="5379" width="0.28515625" style="186" customWidth="1"/>
    <col min="5380" max="5380" width="5.85546875" style="186" customWidth="1"/>
    <col min="5381" max="5381" width="5.5703125" style="186" customWidth="1"/>
    <col min="5382" max="5382" width="0" style="186" hidden="1" customWidth="1"/>
    <col min="5383" max="5383" width="6" style="186" customWidth="1"/>
    <col min="5384" max="5384" width="5.28515625" style="186" customWidth="1"/>
    <col min="5385" max="5385" width="0" style="186" hidden="1" customWidth="1"/>
    <col min="5386" max="5386" width="5.28515625" style="186" customWidth="1"/>
    <col min="5387" max="5387" width="6.28515625" style="186" customWidth="1"/>
    <col min="5388" max="5389" width="0" style="186" hidden="1" customWidth="1"/>
    <col min="5390" max="5390" width="6" style="186" customWidth="1"/>
    <col min="5391" max="5391" width="5.140625" style="186" customWidth="1"/>
    <col min="5392" max="5393" width="0" style="186" hidden="1" customWidth="1"/>
    <col min="5394" max="5394" width="8.7109375" style="186" customWidth="1"/>
    <col min="5395" max="5395" width="7.42578125" style="186" customWidth="1"/>
    <col min="5396" max="5622" width="9.140625" style="186"/>
    <col min="5623" max="5623" width="2.42578125" style="186" customWidth="1"/>
    <col min="5624" max="5624" width="19.42578125" style="186" customWidth="1"/>
    <col min="5625" max="5625" width="18.5703125" style="186" customWidth="1"/>
    <col min="5626" max="5626" width="7" style="186" customWidth="1"/>
    <col min="5627" max="5627" width="6.85546875" style="186" customWidth="1"/>
    <col min="5628" max="5628" width="0" style="186" hidden="1" customWidth="1"/>
    <col min="5629" max="5629" width="7" style="186" customWidth="1"/>
    <col min="5630" max="5630" width="6.7109375" style="186" customWidth="1"/>
    <col min="5631" max="5631" width="0" style="186" hidden="1" customWidth="1"/>
    <col min="5632" max="5632" width="6.85546875" style="186" customWidth="1"/>
    <col min="5633" max="5633" width="5.5703125" style="186" customWidth="1"/>
    <col min="5634" max="5634" width="0" style="186" hidden="1" customWidth="1"/>
    <col min="5635" max="5635" width="0.28515625" style="186" customWidth="1"/>
    <col min="5636" max="5636" width="5.85546875" style="186" customWidth="1"/>
    <col min="5637" max="5637" width="5.5703125" style="186" customWidth="1"/>
    <col min="5638" max="5638" width="0" style="186" hidden="1" customWidth="1"/>
    <col min="5639" max="5639" width="6" style="186" customWidth="1"/>
    <col min="5640" max="5640" width="5.28515625" style="186" customWidth="1"/>
    <col min="5641" max="5641" width="0" style="186" hidden="1" customWidth="1"/>
    <col min="5642" max="5642" width="5.28515625" style="186" customWidth="1"/>
    <col min="5643" max="5643" width="6.28515625" style="186" customWidth="1"/>
    <col min="5644" max="5645" width="0" style="186" hidden="1" customWidth="1"/>
    <col min="5646" max="5646" width="6" style="186" customWidth="1"/>
    <col min="5647" max="5647" width="5.140625" style="186" customWidth="1"/>
    <col min="5648" max="5649" width="0" style="186" hidden="1" customWidth="1"/>
    <col min="5650" max="5650" width="8.7109375" style="186" customWidth="1"/>
    <col min="5651" max="5651" width="7.42578125" style="186" customWidth="1"/>
    <col min="5652" max="5878" width="9.140625" style="186"/>
    <col min="5879" max="5879" width="2.42578125" style="186" customWidth="1"/>
    <col min="5880" max="5880" width="19.42578125" style="186" customWidth="1"/>
    <col min="5881" max="5881" width="18.5703125" style="186" customWidth="1"/>
    <col min="5882" max="5882" width="7" style="186" customWidth="1"/>
    <col min="5883" max="5883" width="6.85546875" style="186" customWidth="1"/>
    <col min="5884" max="5884" width="0" style="186" hidden="1" customWidth="1"/>
    <col min="5885" max="5885" width="7" style="186" customWidth="1"/>
    <col min="5886" max="5886" width="6.7109375" style="186" customWidth="1"/>
    <col min="5887" max="5887" width="0" style="186" hidden="1" customWidth="1"/>
    <col min="5888" max="5888" width="6.85546875" style="186" customWidth="1"/>
    <col min="5889" max="5889" width="5.5703125" style="186" customWidth="1"/>
    <col min="5890" max="5890" width="0" style="186" hidden="1" customWidth="1"/>
    <col min="5891" max="5891" width="0.28515625" style="186" customWidth="1"/>
    <col min="5892" max="5892" width="5.85546875" style="186" customWidth="1"/>
    <col min="5893" max="5893" width="5.5703125" style="186" customWidth="1"/>
    <col min="5894" max="5894" width="0" style="186" hidden="1" customWidth="1"/>
    <col min="5895" max="5895" width="6" style="186" customWidth="1"/>
    <col min="5896" max="5896" width="5.28515625" style="186" customWidth="1"/>
    <col min="5897" max="5897" width="0" style="186" hidden="1" customWidth="1"/>
    <col min="5898" max="5898" width="5.28515625" style="186" customWidth="1"/>
    <col min="5899" max="5899" width="6.28515625" style="186" customWidth="1"/>
    <col min="5900" max="5901" width="0" style="186" hidden="1" customWidth="1"/>
    <col min="5902" max="5902" width="6" style="186" customWidth="1"/>
    <col min="5903" max="5903" width="5.140625" style="186" customWidth="1"/>
    <col min="5904" max="5905" width="0" style="186" hidden="1" customWidth="1"/>
    <col min="5906" max="5906" width="8.7109375" style="186" customWidth="1"/>
    <col min="5907" max="5907" width="7.42578125" style="186" customWidth="1"/>
    <col min="5908" max="6134" width="9.140625" style="186"/>
    <col min="6135" max="6135" width="2.42578125" style="186" customWidth="1"/>
    <col min="6136" max="6136" width="19.42578125" style="186" customWidth="1"/>
    <col min="6137" max="6137" width="18.5703125" style="186" customWidth="1"/>
    <col min="6138" max="6138" width="7" style="186" customWidth="1"/>
    <col min="6139" max="6139" width="6.85546875" style="186" customWidth="1"/>
    <col min="6140" max="6140" width="0" style="186" hidden="1" customWidth="1"/>
    <col min="6141" max="6141" width="7" style="186" customWidth="1"/>
    <col min="6142" max="6142" width="6.7109375" style="186" customWidth="1"/>
    <col min="6143" max="6143" width="0" style="186" hidden="1" customWidth="1"/>
    <col min="6144" max="6144" width="6.85546875" style="186" customWidth="1"/>
    <col min="6145" max="6145" width="5.5703125" style="186" customWidth="1"/>
    <col min="6146" max="6146" width="0" style="186" hidden="1" customWidth="1"/>
    <col min="6147" max="6147" width="0.28515625" style="186" customWidth="1"/>
    <col min="6148" max="6148" width="5.85546875" style="186" customWidth="1"/>
    <col min="6149" max="6149" width="5.5703125" style="186" customWidth="1"/>
    <col min="6150" max="6150" width="0" style="186" hidden="1" customWidth="1"/>
    <col min="6151" max="6151" width="6" style="186" customWidth="1"/>
    <col min="6152" max="6152" width="5.28515625" style="186" customWidth="1"/>
    <col min="6153" max="6153" width="0" style="186" hidden="1" customWidth="1"/>
    <col min="6154" max="6154" width="5.28515625" style="186" customWidth="1"/>
    <col min="6155" max="6155" width="6.28515625" style="186" customWidth="1"/>
    <col min="6156" max="6157" width="0" style="186" hidden="1" customWidth="1"/>
    <col min="6158" max="6158" width="6" style="186" customWidth="1"/>
    <col min="6159" max="6159" width="5.140625" style="186" customWidth="1"/>
    <col min="6160" max="6161" width="0" style="186" hidden="1" customWidth="1"/>
    <col min="6162" max="6162" width="8.7109375" style="186" customWidth="1"/>
    <col min="6163" max="6163" width="7.42578125" style="186" customWidth="1"/>
    <col min="6164" max="6390" width="9.140625" style="186"/>
    <col min="6391" max="6391" width="2.42578125" style="186" customWidth="1"/>
    <col min="6392" max="6392" width="19.42578125" style="186" customWidth="1"/>
    <col min="6393" max="6393" width="18.5703125" style="186" customWidth="1"/>
    <col min="6394" max="6394" width="7" style="186" customWidth="1"/>
    <col min="6395" max="6395" width="6.85546875" style="186" customWidth="1"/>
    <col min="6396" max="6396" width="0" style="186" hidden="1" customWidth="1"/>
    <col min="6397" max="6397" width="7" style="186" customWidth="1"/>
    <col min="6398" max="6398" width="6.7109375" style="186" customWidth="1"/>
    <col min="6399" max="6399" width="0" style="186" hidden="1" customWidth="1"/>
    <col min="6400" max="6400" width="6.85546875" style="186" customWidth="1"/>
    <col min="6401" max="6401" width="5.5703125" style="186" customWidth="1"/>
    <col min="6402" max="6402" width="0" style="186" hidden="1" customWidth="1"/>
    <col min="6403" max="6403" width="0.28515625" style="186" customWidth="1"/>
    <col min="6404" max="6404" width="5.85546875" style="186" customWidth="1"/>
    <col min="6405" max="6405" width="5.5703125" style="186" customWidth="1"/>
    <col min="6406" max="6406" width="0" style="186" hidden="1" customWidth="1"/>
    <col min="6407" max="6407" width="6" style="186" customWidth="1"/>
    <col min="6408" max="6408" width="5.28515625" style="186" customWidth="1"/>
    <col min="6409" max="6409" width="0" style="186" hidden="1" customWidth="1"/>
    <col min="6410" max="6410" width="5.28515625" style="186" customWidth="1"/>
    <col min="6411" max="6411" width="6.28515625" style="186" customWidth="1"/>
    <col min="6412" max="6413" width="0" style="186" hidden="1" customWidth="1"/>
    <col min="6414" max="6414" width="6" style="186" customWidth="1"/>
    <col min="6415" max="6415" width="5.140625" style="186" customWidth="1"/>
    <col min="6416" max="6417" width="0" style="186" hidden="1" customWidth="1"/>
    <col min="6418" max="6418" width="8.7109375" style="186" customWidth="1"/>
    <col min="6419" max="6419" width="7.42578125" style="186" customWidth="1"/>
    <col min="6420" max="6646" width="9.140625" style="186"/>
    <col min="6647" max="6647" width="2.42578125" style="186" customWidth="1"/>
    <col min="6648" max="6648" width="19.42578125" style="186" customWidth="1"/>
    <col min="6649" max="6649" width="18.5703125" style="186" customWidth="1"/>
    <col min="6650" max="6650" width="7" style="186" customWidth="1"/>
    <col min="6651" max="6651" width="6.85546875" style="186" customWidth="1"/>
    <col min="6652" max="6652" width="0" style="186" hidden="1" customWidth="1"/>
    <col min="6653" max="6653" width="7" style="186" customWidth="1"/>
    <col min="6654" max="6654" width="6.7109375" style="186" customWidth="1"/>
    <col min="6655" max="6655" width="0" style="186" hidden="1" customWidth="1"/>
    <col min="6656" max="6656" width="6.85546875" style="186" customWidth="1"/>
    <col min="6657" max="6657" width="5.5703125" style="186" customWidth="1"/>
    <col min="6658" max="6658" width="0" style="186" hidden="1" customWidth="1"/>
    <col min="6659" max="6659" width="0.28515625" style="186" customWidth="1"/>
    <col min="6660" max="6660" width="5.85546875" style="186" customWidth="1"/>
    <col min="6661" max="6661" width="5.5703125" style="186" customWidth="1"/>
    <col min="6662" max="6662" width="0" style="186" hidden="1" customWidth="1"/>
    <col min="6663" max="6663" width="6" style="186" customWidth="1"/>
    <col min="6664" max="6664" width="5.28515625" style="186" customWidth="1"/>
    <col min="6665" max="6665" width="0" style="186" hidden="1" customWidth="1"/>
    <col min="6666" max="6666" width="5.28515625" style="186" customWidth="1"/>
    <col min="6667" max="6667" width="6.28515625" style="186" customWidth="1"/>
    <col min="6668" max="6669" width="0" style="186" hidden="1" customWidth="1"/>
    <col min="6670" max="6670" width="6" style="186" customWidth="1"/>
    <col min="6671" max="6671" width="5.140625" style="186" customWidth="1"/>
    <col min="6672" max="6673" width="0" style="186" hidden="1" customWidth="1"/>
    <col min="6674" max="6674" width="8.7109375" style="186" customWidth="1"/>
    <col min="6675" max="6675" width="7.42578125" style="186" customWidth="1"/>
    <col min="6676" max="6902" width="9.140625" style="186"/>
    <col min="6903" max="6903" width="2.42578125" style="186" customWidth="1"/>
    <col min="6904" max="6904" width="19.42578125" style="186" customWidth="1"/>
    <col min="6905" max="6905" width="18.5703125" style="186" customWidth="1"/>
    <col min="6906" max="6906" width="7" style="186" customWidth="1"/>
    <col min="6907" max="6907" width="6.85546875" style="186" customWidth="1"/>
    <col min="6908" max="6908" width="0" style="186" hidden="1" customWidth="1"/>
    <col min="6909" max="6909" width="7" style="186" customWidth="1"/>
    <col min="6910" max="6910" width="6.7109375" style="186" customWidth="1"/>
    <col min="6911" max="6911" width="0" style="186" hidden="1" customWidth="1"/>
    <col min="6912" max="6912" width="6.85546875" style="186" customWidth="1"/>
    <col min="6913" max="6913" width="5.5703125" style="186" customWidth="1"/>
    <col min="6914" max="6914" width="0" style="186" hidden="1" customWidth="1"/>
    <col min="6915" max="6915" width="0.28515625" style="186" customWidth="1"/>
    <col min="6916" max="6916" width="5.85546875" style="186" customWidth="1"/>
    <col min="6917" max="6917" width="5.5703125" style="186" customWidth="1"/>
    <col min="6918" max="6918" width="0" style="186" hidden="1" customWidth="1"/>
    <col min="6919" max="6919" width="6" style="186" customWidth="1"/>
    <col min="6920" max="6920" width="5.28515625" style="186" customWidth="1"/>
    <col min="6921" max="6921" width="0" style="186" hidden="1" customWidth="1"/>
    <col min="6922" max="6922" width="5.28515625" style="186" customWidth="1"/>
    <col min="6923" max="6923" width="6.28515625" style="186" customWidth="1"/>
    <col min="6924" max="6925" width="0" style="186" hidden="1" customWidth="1"/>
    <col min="6926" max="6926" width="6" style="186" customWidth="1"/>
    <col min="6927" max="6927" width="5.140625" style="186" customWidth="1"/>
    <col min="6928" max="6929" width="0" style="186" hidden="1" customWidth="1"/>
    <col min="6930" max="6930" width="8.7109375" style="186" customWidth="1"/>
    <col min="6931" max="6931" width="7.42578125" style="186" customWidth="1"/>
    <col min="6932" max="7158" width="9.140625" style="186"/>
    <col min="7159" max="7159" width="2.42578125" style="186" customWidth="1"/>
    <col min="7160" max="7160" width="19.42578125" style="186" customWidth="1"/>
    <col min="7161" max="7161" width="18.5703125" style="186" customWidth="1"/>
    <col min="7162" max="7162" width="7" style="186" customWidth="1"/>
    <col min="7163" max="7163" width="6.85546875" style="186" customWidth="1"/>
    <col min="7164" max="7164" width="0" style="186" hidden="1" customWidth="1"/>
    <col min="7165" max="7165" width="7" style="186" customWidth="1"/>
    <col min="7166" max="7166" width="6.7109375" style="186" customWidth="1"/>
    <col min="7167" max="7167" width="0" style="186" hidden="1" customWidth="1"/>
    <col min="7168" max="7168" width="6.85546875" style="186" customWidth="1"/>
    <col min="7169" max="7169" width="5.5703125" style="186" customWidth="1"/>
    <col min="7170" max="7170" width="0" style="186" hidden="1" customWidth="1"/>
    <col min="7171" max="7171" width="0.28515625" style="186" customWidth="1"/>
    <col min="7172" max="7172" width="5.85546875" style="186" customWidth="1"/>
    <col min="7173" max="7173" width="5.5703125" style="186" customWidth="1"/>
    <col min="7174" max="7174" width="0" style="186" hidden="1" customWidth="1"/>
    <col min="7175" max="7175" width="6" style="186" customWidth="1"/>
    <col min="7176" max="7176" width="5.28515625" style="186" customWidth="1"/>
    <col min="7177" max="7177" width="0" style="186" hidden="1" customWidth="1"/>
    <col min="7178" max="7178" width="5.28515625" style="186" customWidth="1"/>
    <col min="7179" max="7179" width="6.28515625" style="186" customWidth="1"/>
    <col min="7180" max="7181" width="0" style="186" hidden="1" customWidth="1"/>
    <col min="7182" max="7182" width="6" style="186" customWidth="1"/>
    <col min="7183" max="7183" width="5.140625" style="186" customWidth="1"/>
    <col min="7184" max="7185" width="0" style="186" hidden="1" customWidth="1"/>
    <col min="7186" max="7186" width="8.7109375" style="186" customWidth="1"/>
    <col min="7187" max="7187" width="7.42578125" style="186" customWidth="1"/>
    <col min="7188" max="7414" width="9.140625" style="186"/>
    <col min="7415" max="7415" width="2.42578125" style="186" customWidth="1"/>
    <col min="7416" max="7416" width="19.42578125" style="186" customWidth="1"/>
    <col min="7417" max="7417" width="18.5703125" style="186" customWidth="1"/>
    <col min="7418" max="7418" width="7" style="186" customWidth="1"/>
    <col min="7419" max="7419" width="6.85546875" style="186" customWidth="1"/>
    <col min="7420" max="7420" width="0" style="186" hidden="1" customWidth="1"/>
    <col min="7421" max="7421" width="7" style="186" customWidth="1"/>
    <col min="7422" max="7422" width="6.7109375" style="186" customWidth="1"/>
    <col min="7423" max="7423" width="0" style="186" hidden="1" customWidth="1"/>
    <col min="7424" max="7424" width="6.85546875" style="186" customWidth="1"/>
    <col min="7425" max="7425" width="5.5703125" style="186" customWidth="1"/>
    <col min="7426" max="7426" width="0" style="186" hidden="1" customWidth="1"/>
    <col min="7427" max="7427" width="0.28515625" style="186" customWidth="1"/>
    <col min="7428" max="7428" width="5.85546875" style="186" customWidth="1"/>
    <col min="7429" max="7429" width="5.5703125" style="186" customWidth="1"/>
    <col min="7430" max="7430" width="0" style="186" hidden="1" customWidth="1"/>
    <col min="7431" max="7431" width="6" style="186" customWidth="1"/>
    <col min="7432" max="7432" width="5.28515625" style="186" customWidth="1"/>
    <col min="7433" max="7433" width="0" style="186" hidden="1" customWidth="1"/>
    <col min="7434" max="7434" width="5.28515625" style="186" customWidth="1"/>
    <col min="7435" max="7435" width="6.28515625" style="186" customWidth="1"/>
    <col min="7436" max="7437" width="0" style="186" hidden="1" customWidth="1"/>
    <col min="7438" max="7438" width="6" style="186" customWidth="1"/>
    <col min="7439" max="7439" width="5.140625" style="186" customWidth="1"/>
    <col min="7440" max="7441" width="0" style="186" hidden="1" customWidth="1"/>
    <col min="7442" max="7442" width="8.7109375" style="186" customWidth="1"/>
    <col min="7443" max="7443" width="7.42578125" style="186" customWidth="1"/>
    <col min="7444" max="7670" width="9.140625" style="186"/>
    <col min="7671" max="7671" width="2.42578125" style="186" customWidth="1"/>
    <col min="7672" max="7672" width="19.42578125" style="186" customWidth="1"/>
    <col min="7673" max="7673" width="18.5703125" style="186" customWidth="1"/>
    <col min="7674" max="7674" width="7" style="186" customWidth="1"/>
    <col min="7675" max="7675" width="6.85546875" style="186" customWidth="1"/>
    <col min="7676" max="7676" width="0" style="186" hidden="1" customWidth="1"/>
    <col min="7677" max="7677" width="7" style="186" customWidth="1"/>
    <col min="7678" max="7678" width="6.7109375" style="186" customWidth="1"/>
    <col min="7679" max="7679" width="0" style="186" hidden="1" customWidth="1"/>
    <col min="7680" max="7680" width="6.85546875" style="186" customWidth="1"/>
    <col min="7681" max="7681" width="5.5703125" style="186" customWidth="1"/>
    <col min="7682" max="7682" width="0" style="186" hidden="1" customWidth="1"/>
    <col min="7683" max="7683" width="0.28515625" style="186" customWidth="1"/>
    <col min="7684" max="7684" width="5.85546875" style="186" customWidth="1"/>
    <col min="7685" max="7685" width="5.5703125" style="186" customWidth="1"/>
    <col min="7686" max="7686" width="0" style="186" hidden="1" customWidth="1"/>
    <col min="7687" max="7687" width="6" style="186" customWidth="1"/>
    <col min="7688" max="7688" width="5.28515625" style="186" customWidth="1"/>
    <col min="7689" max="7689" width="0" style="186" hidden="1" customWidth="1"/>
    <col min="7690" max="7690" width="5.28515625" style="186" customWidth="1"/>
    <col min="7691" max="7691" width="6.28515625" style="186" customWidth="1"/>
    <col min="7692" max="7693" width="0" style="186" hidden="1" customWidth="1"/>
    <col min="7694" max="7694" width="6" style="186" customWidth="1"/>
    <col min="7695" max="7695" width="5.140625" style="186" customWidth="1"/>
    <col min="7696" max="7697" width="0" style="186" hidden="1" customWidth="1"/>
    <col min="7698" max="7698" width="8.7109375" style="186" customWidth="1"/>
    <col min="7699" max="7699" width="7.42578125" style="186" customWidth="1"/>
    <col min="7700" max="7926" width="9.140625" style="186"/>
    <col min="7927" max="7927" width="2.42578125" style="186" customWidth="1"/>
    <col min="7928" max="7928" width="19.42578125" style="186" customWidth="1"/>
    <col min="7929" max="7929" width="18.5703125" style="186" customWidth="1"/>
    <col min="7930" max="7930" width="7" style="186" customWidth="1"/>
    <col min="7931" max="7931" width="6.85546875" style="186" customWidth="1"/>
    <col min="7932" max="7932" width="0" style="186" hidden="1" customWidth="1"/>
    <col min="7933" max="7933" width="7" style="186" customWidth="1"/>
    <col min="7934" max="7934" width="6.7109375" style="186" customWidth="1"/>
    <col min="7935" max="7935" width="0" style="186" hidden="1" customWidth="1"/>
    <col min="7936" max="7936" width="6.85546875" style="186" customWidth="1"/>
    <col min="7937" max="7937" width="5.5703125" style="186" customWidth="1"/>
    <col min="7938" max="7938" width="0" style="186" hidden="1" customWidth="1"/>
    <col min="7939" max="7939" width="0.28515625" style="186" customWidth="1"/>
    <col min="7940" max="7940" width="5.85546875" style="186" customWidth="1"/>
    <col min="7941" max="7941" width="5.5703125" style="186" customWidth="1"/>
    <col min="7942" max="7942" width="0" style="186" hidden="1" customWidth="1"/>
    <col min="7943" max="7943" width="6" style="186" customWidth="1"/>
    <col min="7944" max="7944" width="5.28515625" style="186" customWidth="1"/>
    <col min="7945" max="7945" width="0" style="186" hidden="1" customWidth="1"/>
    <col min="7946" max="7946" width="5.28515625" style="186" customWidth="1"/>
    <col min="7947" max="7947" width="6.28515625" style="186" customWidth="1"/>
    <col min="7948" max="7949" width="0" style="186" hidden="1" customWidth="1"/>
    <col min="7950" max="7950" width="6" style="186" customWidth="1"/>
    <col min="7951" max="7951" width="5.140625" style="186" customWidth="1"/>
    <col min="7952" max="7953" width="0" style="186" hidden="1" customWidth="1"/>
    <col min="7954" max="7954" width="8.7109375" style="186" customWidth="1"/>
    <col min="7955" max="7955" width="7.42578125" style="186" customWidth="1"/>
    <col min="7956" max="8182" width="9.140625" style="186"/>
    <col min="8183" max="8183" width="2.42578125" style="186" customWidth="1"/>
    <col min="8184" max="8184" width="19.42578125" style="186" customWidth="1"/>
    <col min="8185" max="8185" width="18.5703125" style="186" customWidth="1"/>
    <col min="8186" max="8186" width="7" style="186" customWidth="1"/>
    <col min="8187" max="8187" width="6.85546875" style="186" customWidth="1"/>
    <col min="8188" max="8188" width="0" style="186" hidden="1" customWidth="1"/>
    <col min="8189" max="8189" width="7" style="186" customWidth="1"/>
    <col min="8190" max="8190" width="6.7109375" style="186" customWidth="1"/>
    <col min="8191" max="8191" width="0" style="186" hidden="1" customWidth="1"/>
    <col min="8192" max="8192" width="6.85546875" style="186" customWidth="1"/>
    <col min="8193" max="8193" width="5.5703125" style="186" customWidth="1"/>
    <col min="8194" max="8194" width="0" style="186" hidden="1" customWidth="1"/>
    <col min="8195" max="8195" width="0.28515625" style="186" customWidth="1"/>
    <col min="8196" max="8196" width="5.85546875" style="186" customWidth="1"/>
    <col min="8197" max="8197" width="5.5703125" style="186" customWidth="1"/>
    <col min="8198" max="8198" width="0" style="186" hidden="1" customWidth="1"/>
    <col min="8199" max="8199" width="6" style="186" customWidth="1"/>
    <col min="8200" max="8200" width="5.28515625" style="186" customWidth="1"/>
    <col min="8201" max="8201" width="0" style="186" hidden="1" customWidth="1"/>
    <col min="8202" max="8202" width="5.28515625" style="186" customWidth="1"/>
    <col min="8203" max="8203" width="6.28515625" style="186" customWidth="1"/>
    <col min="8204" max="8205" width="0" style="186" hidden="1" customWidth="1"/>
    <col min="8206" max="8206" width="6" style="186" customWidth="1"/>
    <col min="8207" max="8207" width="5.140625" style="186" customWidth="1"/>
    <col min="8208" max="8209" width="0" style="186" hidden="1" customWidth="1"/>
    <col min="8210" max="8210" width="8.7109375" style="186" customWidth="1"/>
    <col min="8211" max="8211" width="7.42578125" style="186" customWidth="1"/>
    <col min="8212" max="8438" width="9.140625" style="186"/>
    <col min="8439" max="8439" width="2.42578125" style="186" customWidth="1"/>
    <col min="8440" max="8440" width="19.42578125" style="186" customWidth="1"/>
    <col min="8441" max="8441" width="18.5703125" style="186" customWidth="1"/>
    <col min="8442" max="8442" width="7" style="186" customWidth="1"/>
    <col min="8443" max="8443" width="6.85546875" style="186" customWidth="1"/>
    <col min="8444" max="8444" width="0" style="186" hidden="1" customWidth="1"/>
    <col min="8445" max="8445" width="7" style="186" customWidth="1"/>
    <col min="8446" max="8446" width="6.7109375" style="186" customWidth="1"/>
    <col min="8447" max="8447" width="0" style="186" hidden="1" customWidth="1"/>
    <col min="8448" max="8448" width="6.85546875" style="186" customWidth="1"/>
    <col min="8449" max="8449" width="5.5703125" style="186" customWidth="1"/>
    <col min="8450" max="8450" width="0" style="186" hidden="1" customWidth="1"/>
    <col min="8451" max="8451" width="0.28515625" style="186" customWidth="1"/>
    <col min="8452" max="8452" width="5.85546875" style="186" customWidth="1"/>
    <col min="8453" max="8453" width="5.5703125" style="186" customWidth="1"/>
    <col min="8454" max="8454" width="0" style="186" hidden="1" customWidth="1"/>
    <col min="8455" max="8455" width="6" style="186" customWidth="1"/>
    <col min="8456" max="8456" width="5.28515625" style="186" customWidth="1"/>
    <col min="8457" max="8457" width="0" style="186" hidden="1" customWidth="1"/>
    <col min="8458" max="8458" width="5.28515625" style="186" customWidth="1"/>
    <col min="8459" max="8459" width="6.28515625" style="186" customWidth="1"/>
    <col min="8460" max="8461" width="0" style="186" hidden="1" customWidth="1"/>
    <col min="8462" max="8462" width="6" style="186" customWidth="1"/>
    <col min="8463" max="8463" width="5.140625" style="186" customWidth="1"/>
    <col min="8464" max="8465" width="0" style="186" hidden="1" customWidth="1"/>
    <col min="8466" max="8466" width="8.7109375" style="186" customWidth="1"/>
    <col min="8467" max="8467" width="7.42578125" style="186" customWidth="1"/>
    <col min="8468" max="8694" width="9.140625" style="186"/>
    <col min="8695" max="8695" width="2.42578125" style="186" customWidth="1"/>
    <col min="8696" max="8696" width="19.42578125" style="186" customWidth="1"/>
    <col min="8697" max="8697" width="18.5703125" style="186" customWidth="1"/>
    <col min="8698" max="8698" width="7" style="186" customWidth="1"/>
    <col min="8699" max="8699" width="6.85546875" style="186" customWidth="1"/>
    <col min="8700" max="8700" width="0" style="186" hidden="1" customWidth="1"/>
    <col min="8701" max="8701" width="7" style="186" customWidth="1"/>
    <col min="8702" max="8702" width="6.7109375" style="186" customWidth="1"/>
    <col min="8703" max="8703" width="0" style="186" hidden="1" customWidth="1"/>
    <col min="8704" max="8704" width="6.85546875" style="186" customWidth="1"/>
    <col min="8705" max="8705" width="5.5703125" style="186" customWidth="1"/>
    <col min="8706" max="8706" width="0" style="186" hidden="1" customWidth="1"/>
    <col min="8707" max="8707" width="0.28515625" style="186" customWidth="1"/>
    <col min="8708" max="8708" width="5.85546875" style="186" customWidth="1"/>
    <col min="8709" max="8709" width="5.5703125" style="186" customWidth="1"/>
    <col min="8710" max="8710" width="0" style="186" hidden="1" customWidth="1"/>
    <col min="8711" max="8711" width="6" style="186" customWidth="1"/>
    <col min="8712" max="8712" width="5.28515625" style="186" customWidth="1"/>
    <col min="8713" max="8713" width="0" style="186" hidden="1" customWidth="1"/>
    <col min="8714" max="8714" width="5.28515625" style="186" customWidth="1"/>
    <col min="8715" max="8715" width="6.28515625" style="186" customWidth="1"/>
    <col min="8716" max="8717" width="0" style="186" hidden="1" customWidth="1"/>
    <col min="8718" max="8718" width="6" style="186" customWidth="1"/>
    <col min="8719" max="8719" width="5.140625" style="186" customWidth="1"/>
    <col min="8720" max="8721" width="0" style="186" hidden="1" customWidth="1"/>
    <col min="8722" max="8722" width="8.7109375" style="186" customWidth="1"/>
    <col min="8723" max="8723" width="7.42578125" style="186" customWidth="1"/>
    <col min="8724" max="8950" width="9.140625" style="186"/>
    <col min="8951" max="8951" width="2.42578125" style="186" customWidth="1"/>
    <col min="8952" max="8952" width="19.42578125" style="186" customWidth="1"/>
    <col min="8953" max="8953" width="18.5703125" style="186" customWidth="1"/>
    <col min="8954" max="8954" width="7" style="186" customWidth="1"/>
    <col min="8955" max="8955" width="6.85546875" style="186" customWidth="1"/>
    <col min="8956" max="8956" width="0" style="186" hidden="1" customWidth="1"/>
    <col min="8957" max="8957" width="7" style="186" customWidth="1"/>
    <col min="8958" max="8958" width="6.7109375" style="186" customWidth="1"/>
    <col min="8959" max="8959" width="0" style="186" hidden="1" customWidth="1"/>
    <col min="8960" max="8960" width="6.85546875" style="186" customWidth="1"/>
    <col min="8961" max="8961" width="5.5703125" style="186" customWidth="1"/>
    <col min="8962" max="8962" width="0" style="186" hidden="1" customWidth="1"/>
    <col min="8963" max="8963" width="0.28515625" style="186" customWidth="1"/>
    <col min="8964" max="8964" width="5.85546875" style="186" customWidth="1"/>
    <col min="8965" max="8965" width="5.5703125" style="186" customWidth="1"/>
    <col min="8966" max="8966" width="0" style="186" hidden="1" customWidth="1"/>
    <col min="8967" max="8967" width="6" style="186" customWidth="1"/>
    <col min="8968" max="8968" width="5.28515625" style="186" customWidth="1"/>
    <col min="8969" max="8969" width="0" style="186" hidden="1" customWidth="1"/>
    <col min="8970" max="8970" width="5.28515625" style="186" customWidth="1"/>
    <col min="8971" max="8971" width="6.28515625" style="186" customWidth="1"/>
    <col min="8972" max="8973" width="0" style="186" hidden="1" customWidth="1"/>
    <col min="8974" max="8974" width="6" style="186" customWidth="1"/>
    <col min="8975" max="8975" width="5.140625" style="186" customWidth="1"/>
    <col min="8976" max="8977" width="0" style="186" hidden="1" customWidth="1"/>
    <col min="8978" max="8978" width="8.7109375" style="186" customWidth="1"/>
    <col min="8979" max="8979" width="7.42578125" style="186" customWidth="1"/>
    <col min="8980" max="9206" width="9.140625" style="186"/>
    <col min="9207" max="9207" width="2.42578125" style="186" customWidth="1"/>
    <col min="9208" max="9208" width="19.42578125" style="186" customWidth="1"/>
    <col min="9209" max="9209" width="18.5703125" style="186" customWidth="1"/>
    <col min="9210" max="9210" width="7" style="186" customWidth="1"/>
    <col min="9211" max="9211" width="6.85546875" style="186" customWidth="1"/>
    <col min="9212" max="9212" width="0" style="186" hidden="1" customWidth="1"/>
    <col min="9213" max="9213" width="7" style="186" customWidth="1"/>
    <col min="9214" max="9214" width="6.7109375" style="186" customWidth="1"/>
    <col min="9215" max="9215" width="0" style="186" hidden="1" customWidth="1"/>
    <col min="9216" max="9216" width="6.85546875" style="186" customWidth="1"/>
    <col min="9217" max="9217" width="5.5703125" style="186" customWidth="1"/>
    <col min="9218" max="9218" width="0" style="186" hidden="1" customWidth="1"/>
    <col min="9219" max="9219" width="0.28515625" style="186" customWidth="1"/>
    <col min="9220" max="9220" width="5.85546875" style="186" customWidth="1"/>
    <col min="9221" max="9221" width="5.5703125" style="186" customWidth="1"/>
    <col min="9222" max="9222" width="0" style="186" hidden="1" customWidth="1"/>
    <col min="9223" max="9223" width="6" style="186" customWidth="1"/>
    <col min="9224" max="9224" width="5.28515625" style="186" customWidth="1"/>
    <col min="9225" max="9225" width="0" style="186" hidden="1" customWidth="1"/>
    <col min="9226" max="9226" width="5.28515625" style="186" customWidth="1"/>
    <col min="9227" max="9227" width="6.28515625" style="186" customWidth="1"/>
    <col min="9228" max="9229" width="0" style="186" hidden="1" customWidth="1"/>
    <col min="9230" max="9230" width="6" style="186" customWidth="1"/>
    <col min="9231" max="9231" width="5.140625" style="186" customWidth="1"/>
    <col min="9232" max="9233" width="0" style="186" hidden="1" customWidth="1"/>
    <col min="9234" max="9234" width="8.7109375" style="186" customWidth="1"/>
    <col min="9235" max="9235" width="7.42578125" style="186" customWidth="1"/>
    <col min="9236" max="9462" width="9.140625" style="186"/>
    <col min="9463" max="9463" width="2.42578125" style="186" customWidth="1"/>
    <col min="9464" max="9464" width="19.42578125" style="186" customWidth="1"/>
    <col min="9465" max="9465" width="18.5703125" style="186" customWidth="1"/>
    <col min="9466" max="9466" width="7" style="186" customWidth="1"/>
    <col min="9467" max="9467" width="6.85546875" style="186" customWidth="1"/>
    <col min="9468" max="9468" width="0" style="186" hidden="1" customWidth="1"/>
    <col min="9469" max="9469" width="7" style="186" customWidth="1"/>
    <col min="9470" max="9470" width="6.7109375" style="186" customWidth="1"/>
    <col min="9471" max="9471" width="0" style="186" hidden="1" customWidth="1"/>
    <col min="9472" max="9472" width="6.85546875" style="186" customWidth="1"/>
    <col min="9473" max="9473" width="5.5703125" style="186" customWidth="1"/>
    <col min="9474" max="9474" width="0" style="186" hidden="1" customWidth="1"/>
    <col min="9475" max="9475" width="0.28515625" style="186" customWidth="1"/>
    <col min="9476" max="9476" width="5.85546875" style="186" customWidth="1"/>
    <col min="9477" max="9477" width="5.5703125" style="186" customWidth="1"/>
    <col min="9478" max="9478" width="0" style="186" hidden="1" customWidth="1"/>
    <col min="9479" max="9479" width="6" style="186" customWidth="1"/>
    <col min="9480" max="9480" width="5.28515625" style="186" customWidth="1"/>
    <col min="9481" max="9481" width="0" style="186" hidden="1" customWidth="1"/>
    <col min="9482" max="9482" width="5.28515625" style="186" customWidth="1"/>
    <col min="9483" max="9483" width="6.28515625" style="186" customWidth="1"/>
    <col min="9484" max="9485" width="0" style="186" hidden="1" customWidth="1"/>
    <col min="9486" max="9486" width="6" style="186" customWidth="1"/>
    <col min="9487" max="9487" width="5.140625" style="186" customWidth="1"/>
    <col min="9488" max="9489" width="0" style="186" hidden="1" customWidth="1"/>
    <col min="9490" max="9490" width="8.7109375" style="186" customWidth="1"/>
    <col min="9491" max="9491" width="7.42578125" style="186" customWidth="1"/>
    <col min="9492" max="9718" width="9.140625" style="186"/>
    <col min="9719" max="9719" width="2.42578125" style="186" customWidth="1"/>
    <col min="9720" max="9720" width="19.42578125" style="186" customWidth="1"/>
    <col min="9721" max="9721" width="18.5703125" style="186" customWidth="1"/>
    <col min="9722" max="9722" width="7" style="186" customWidth="1"/>
    <col min="9723" max="9723" width="6.85546875" style="186" customWidth="1"/>
    <col min="9724" max="9724" width="0" style="186" hidden="1" customWidth="1"/>
    <col min="9725" max="9725" width="7" style="186" customWidth="1"/>
    <col min="9726" max="9726" width="6.7109375" style="186" customWidth="1"/>
    <col min="9727" max="9727" width="0" style="186" hidden="1" customWidth="1"/>
    <col min="9728" max="9728" width="6.85546875" style="186" customWidth="1"/>
    <col min="9729" max="9729" width="5.5703125" style="186" customWidth="1"/>
    <col min="9730" max="9730" width="0" style="186" hidden="1" customWidth="1"/>
    <col min="9731" max="9731" width="0.28515625" style="186" customWidth="1"/>
    <col min="9732" max="9732" width="5.85546875" style="186" customWidth="1"/>
    <col min="9733" max="9733" width="5.5703125" style="186" customWidth="1"/>
    <col min="9734" max="9734" width="0" style="186" hidden="1" customWidth="1"/>
    <col min="9735" max="9735" width="6" style="186" customWidth="1"/>
    <col min="9736" max="9736" width="5.28515625" style="186" customWidth="1"/>
    <col min="9737" max="9737" width="0" style="186" hidden="1" customWidth="1"/>
    <col min="9738" max="9738" width="5.28515625" style="186" customWidth="1"/>
    <col min="9739" max="9739" width="6.28515625" style="186" customWidth="1"/>
    <col min="9740" max="9741" width="0" style="186" hidden="1" customWidth="1"/>
    <col min="9742" max="9742" width="6" style="186" customWidth="1"/>
    <col min="9743" max="9743" width="5.140625" style="186" customWidth="1"/>
    <col min="9744" max="9745" width="0" style="186" hidden="1" customWidth="1"/>
    <col min="9746" max="9746" width="8.7109375" style="186" customWidth="1"/>
    <col min="9747" max="9747" width="7.42578125" style="186" customWidth="1"/>
    <col min="9748" max="9974" width="9.140625" style="186"/>
    <col min="9975" max="9975" width="2.42578125" style="186" customWidth="1"/>
    <col min="9976" max="9976" width="19.42578125" style="186" customWidth="1"/>
    <col min="9977" max="9977" width="18.5703125" style="186" customWidth="1"/>
    <col min="9978" max="9978" width="7" style="186" customWidth="1"/>
    <col min="9979" max="9979" width="6.85546875" style="186" customWidth="1"/>
    <col min="9980" max="9980" width="0" style="186" hidden="1" customWidth="1"/>
    <col min="9981" max="9981" width="7" style="186" customWidth="1"/>
    <col min="9982" max="9982" width="6.7109375" style="186" customWidth="1"/>
    <col min="9983" max="9983" width="0" style="186" hidden="1" customWidth="1"/>
    <col min="9984" max="9984" width="6.85546875" style="186" customWidth="1"/>
    <col min="9985" max="9985" width="5.5703125" style="186" customWidth="1"/>
    <col min="9986" max="9986" width="0" style="186" hidden="1" customWidth="1"/>
    <col min="9987" max="9987" width="0.28515625" style="186" customWidth="1"/>
    <col min="9988" max="9988" width="5.85546875" style="186" customWidth="1"/>
    <col min="9989" max="9989" width="5.5703125" style="186" customWidth="1"/>
    <col min="9990" max="9990" width="0" style="186" hidden="1" customWidth="1"/>
    <col min="9991" max="9991" width="6" style="186" customWidth="1"/>
    <col min="9992" max="9992" width="5.28515625" style="186" customWidth="1"/>
    <col min="9993" max="9993" width="0" style="186" hidden="1" customWidth="1"/>
    <col min="9994" max="9994" width="5.28515625" style="186" customWidth="1"/>
    <col min="9995" max="9995" width="6.28515625" style="186" customWidth="1"/>
    <col min="9996" max="9997" width="0" style="186" hidden="1" customWidth="1"/>
    <col min="9998" max="9998" width="6" style="186" customWidth="1"/>
    <col min="9999" max="9999" width="5.140625" style="186" customWidth="1"/>
    <col min="10000" max="10001" width="0" style="186" hidden="1" customWidth="1"/>
    <col min="10002" max="10002" width="8.7109375" style="186" customWidth="1"/>
    <col min="10003" max="10003" width="7.42578125" style="186" customWidth="1"/>
    <col min="10004" max="10230" width="9.140625" style="186"/>
    <col min="10231" max="10231" width="2.42578125" style="186" customWidth="1"/>
    <col min="10232" max="10232" width="19.42578125" style="186" customWidth="1"/>
    <col min="10233" max="10233" width="18.5703125" style="186" customWidth="1"/>
    <col min="10234" max="10234" width="7" style="186" customWidth="1"/>
    <col min="10235" max="10235" width="6.85546875" style="186" customWidth="1"/>
    <col min="10236" max="10236" width="0" style="186" hidden="1" customWidth="1"/>
    <col min="10237" max="10237" width="7" style="186" customWidth="1"/>
    <col min="10238" max="10238" width="6.7109375" style="186" customWidth="1"/>
    <col min="10239" max="10239" width="0" style="186" hidden="1" customWidth="1"/>
    <col min="10240" max="10240" width="6.85546875" style="186" customWidth="1"/>
    <col min="10241" max="10241" width="5.5703125" style="186" customWidth="1"/>
    <col min="10242" max="10242" width="0" style="186" hidden="1" customWidth="1"/>
    <col min="10243" max="10243" width="0.28515625" style="186" customWidth="1"/>
    <col min="10244" max="10244" width="5.85546875" style="186" customWidth="1"/>
    <col min="10245" max="10245" width="5.5703125" style="186" customWidth="1"/>
    <col min="10246" max="10246" width="0" style="186" hidden="1" customWidth="1"/>
    <col min="10247" max="10247" width="6" style="186" customWidth="1"/>
    <col min="10248" max="10248" width="5.28515625" style="186" customWidth="1"/>
    <col min="10249" max="10249" width="0" style="186" hidden="1" customWidth="1"/>
    <col min="10250" max="10250" width="5.28515625" style="186" customWidth="1"/>
    <col min="10251" max="10251" width="6.28515625" style="186" customWidth="1"/>
    <col min="10252" max="10253" width="0" style="186" hidden="1" customWidth="1"/>
    <col min="10254" max="10254" width="6" style="186" customWidth="1"/>
    <col min="10255" max="10255" width="5.140625" style="186" customWidth="1"/>
    <col min="10256" max="10257" width="0" style="186" hidden="1" customWidth="1"/>
    <col min="10258" max="10258" width="8.7109375" style="186" customWidth="1"/>
    <col min="10259" max="10259" width="7.42578125" style="186" customWidth="1"/>
    <col min="10260" max="10486" width="9.140625" style="186"/>
    <col min="10487" max="10487" width="2.42578125" style="186" customWidth="1"/>
    <col min="10488" max="10488" width="19.42578125" style="186" customWidth="1"/>
    <col min="10489" max="10489" width="18.5703125" style="186" customWidth="1"/>
    <col min="10490" max="10490" width="7" style="186" customWidth="1"/>
    <col min="10491" max="10491" width="6.85546875" style="186" customWidth="1"/>
    <col min="10492" max="10492" width="0" style="186" hidden="1" customWidth="1"/>
    <col min="10493" max="10493" width="7" style="186" customWidth="1"/>
    <col min="10494" max="10494" width="6.7109375" style="186" customWidth="1"/>
    <col min="10495" max="10495" width="0" style="186" hidden="1" customWidth="1"/>
    <col min="10496" max="10496" width="6.85546875" style="186" customWidth="1"/>
    <col min="10497" max="10497" width="5.5703125" style="186" customWidth="1"/>
    <col min="10498" max="10498" width="0" style="186" hidden="1" customWidth="1"/>
    <col min="10499" max="10499" width="0.28515625" style="186" customWidth="1"/>
    <col min="10500" max="10500" width="5.85546875" style="186" customWidth="1"/>
    <col min="10501" max="10501" width="5.5703125" style="186" customWidth="1"/>
    <col min="10502" max="10502" width="0" style="186" hidden="1" customWidth="1"/>
    <col min="10503" max="10503" width="6" style="186" customWidth="1"/>
    <col min="10504" max="10504" width="5.28515625" style="186" customWidth="1"/>
    <col min="10505" max="10505" width="0" style="186" hidden="1" customWidth="1"/>
    <col min="10506" max="10506" width="5.28515625" style="186" customWidth="1"/>
    <col min="10507" max="10507" width="6.28515625" style="186" customWidth="1"/>
    <col min="10508" max="10509" width="0" style="186" hidden="1" customWidth="1"/>
    <col min="10510" max="10510" width="6" style="186" customWidth="1"/>
    <col min="10511" max="10511" width="5.140625" style="186" customWidth="1"/>
    <col min="10512" max="10513" width="0" style="186" hidden="1" customWidth="1"/>
    <col min="10514" max="10514" width="8.7109375" style="186" customWidth="1"/>
    <col min="10515" max="10515" width="7.42578125" style="186" customWidth="1"/>
    <col min="10516" max="10742" width="9.140625" style="186"/>
    <col min="10743" max="10743" width="2.42578125" style="186" customWidth="1"/>
    <col min="10744" max="10744" width="19.42578125" style="186" customWidth="1"/>
    <col min="10745" max="10745" width="18.5703125" style="186" customWidth="1"/>
    <col min="10746" max="10746" width="7" style="186" customWidth="1"/>
    <col min="10747" max="10747" width="6.85546875" style="186" customWidth="1"/>
    <col min="10748" max="10748" width="0" style="186" hidden="1" customWidth="1"/>
    <col min="10749" max="10749" width="7" style="186" customWidth="1"/>
    <col min="10750" max="10750" width="6.7109375" style="186" customWidth="1"/>
    <col min="10751" max="10751" width="0" style="186" hidden="1" customWidth="1"/>
    <col min="10752" max="10752" width="6.85546875" style="186" customWidth="1"/>
    <col min="10753" max="10753" width="5.5703125" style="186" customWidth="1"/>
    <col min="10754" max="10754" width="0" style="186" hidden="1" customWidth="1"/>
    <col min="10755" max="10755" width="0.28515625" style="186" customWidth="1"/>
    <col min="10756" max="10756" width="5.85546875" style="186" customWidth="1"/>
    <col min="10757" max="10757" width="5.5703125" style="186" customWidth="1"/>
    <col min="10758" max="10758" width="0" style="186" hidden="1" customWidth="1"/>
    <col min="10759" max="10759" width="6" style="186" customWidth="1"/>
    <col min="10760" max="10760" width="5.28515625" style="186" customWidth="1"/>
    <col min="10761" max="10761" width="0" style="186" hidden="1" customWidth="1"/>
    <col min="10762" max="10762" width="5.28515625" style="186" customWidth="1"/>
    <col min="10763" max="10763" width="6.28515625" style="186" customWidth="1"/>
    <col min="10764" max="10765" width="0" style="186" hidden="1" customWidth="1"/>
    <col min="10766" max="10766" width="6" style="186" customWidth="1"/>
    <col min="10767" max="10767" width="5.140625" style="186" customWidth="1"/>
    <col min="10768" max="10769" width="0" style="186" hidden="1" customWidth="1"/>
    <col min="10770" max="10770" width="8.7109375" style="186" customWidth="1"/>
    <col min="10771" max="10771" width="7.42578125" style="186" customWidth="1"/>
    <col min="10772" max="10998" width="9.140625" style="186"/>
    <col min="10999" max="10999" width="2.42578125" style="186" customWidth="1"/>
    <col min="11000" max="11000" width="19.42578125" style="186" customWidth="1"/>
    <col min="11001" max="11001" width="18.5703125" style="186" customWidth="1"/>
    <col min="11002" max="11002" width="7" style="186" customWidth="1"/>
    <col min="11003" max="11003" width="6.85546875" style="186" customWidth="1"/>
    <col min="11004" max="11004" width="0" style="186" hidden="1" customWidth="1"/>
    <col min="11005" max="11005" width="7" style="186" customWidth="1"/>
    <col min="11006" max="11006" width="6.7109375" style="186" customWidth="1"/>
    <col min="11007" max="11007" width="0" style="186" hidden="1" customWidth="1"/>
    <col min="11008" max="11008" width="6.85546875" style="186" customWidth="1"/>
    <col min="11009" max="11009" width="5.5703125" style="186" customWidth="1"/>
    <col min="11010" max="11010" width="0" style="186" hidden="1" customWidth="1"/>
    <col min="11011" max="11011" width="0.28515625" style="186" customWidth="1"/>
    <col min="11012" max="11012" width="5.85546875" style="186" customWidth="1"/>
    <col min="11013" max="11013" width="5.5703125" style="186" customWidth="1"/>
    <col min="11014" max="11014" width="0" style="186" hidden="1" customWidth="1"/>
    <col min="11015" max="11015" width="6" style="186" customWidth="1"/>
    <col min="11016" max="11016" width="5.28515625" style="186" customWidth="1"/>
    <col min="11017" max="11017" width="0" style="186" hidden="1" customWidth="1"/>
    <col min="11018" max="11018" width="5.28515625" style="186" customWidth="1"/>
    <col min="11019" max="11019" width="6.28515625" style="186" customWidth="1"/>
    <col min="11020" max="11021" width="0" style="186" hidden="1" customWidth="1"/>
    <col min="11022" max="11022" width="6" style="186" customWidth="1"/>
    <col min="11023" max="11023" width="5.140625" style="186" customWidth="1"/>
    <col min="11024" max="11025" width="0" style="186" hidden="1" customWidth="1"/>
    <col min="11026" max="11026" width="8.7109375" style="186" customWidth="1"/>
    <col min="11027" max="11027" width="7.42578125" style="186" customWidth="1"/>
    <col min="11028" max="11254" width="9.140625" style="186"/>
    <col min="11255" max="11255" width="2.42578125" style="186" customWidth="1"/>
    <col min="11256" max="11256" width="19.42578125" style="186" customWidth="1"/>
    <col min="11257" max="11257" width="18.5703125" style="186" customWidth="1"/>
    <col min="11258" max="11258" width="7" style="186" customWidth="1"/>
    <col min="11259" max="11259" width="6.85546875" style="186" customWidth="1"/>
    <col min="11260" max="11260" width="0" style="186" hidden="1" customWidth="1"/>
    <col min="11261" max="11261" width="7" style="186" customWidth="1"/>
    <col min="11262" max="11262" width="6.7109375" style="186" customWidth="1"/>
    <col min="11263" max="11263" width="0" style="186" hidden="1" customWidth="1"/>
    <col min="11264" max="11264" width="6.85546875" style="186" customWidth="1"/>
    <col min="11265" max="11265" width="5.5703125" style="186" customWidth="1"/>
    <col min="11266" max="11266" width="0" style="186" hidden="1" customWidth="1"/>
    <col min="11267" max="11267" width="0.28515625" style="186" customWidth="1"/>
    <col min="11268" max="11268" width="5.85546875" style="186" customWidth="1"/>
    <col min="11269" max="11269" width="5.5703125" style="186" customWidth="1"/>
    <col min="11270" max="11270" width="0" style="186" hidden="1" customWidth="1"/>
    <col min="11271" max="11271" width="6" style="186" customWidth="1"/>
    <col min="11272" max="11272" width="5.28515625" style="186" customWidth="1"/>
    <col min="11273" max="11273" width="0" style="186" hidden="1" customWidth="1"/>
    <col min="11274" max="11274" width="5.28515625" style="186" customWidth="1"/>
    <col min="11275" max="11275" width="6.28515625" style="186" customWidth="1"/>
    <col min="11276" max="11277" width="0" style="186" hidden="1" customWidth="1"/>
    <col min="11278" max="11278" width="6" style="186" customWidth="1"/>
    <col min="11279" max="11279" width="5.140625" style="186" customWidth="1"/>
    <col min="11280" max="11281" width="0" style="186" hidden="1" customWidth="1"/>
    <col min="11282" max="11282" width="8.7109375" style="186" customWidth="1"/>
    <col min="11283" max="11283" width="7.42578125" style="186" customWidth="1"/>
    <col min="11284" max="11510" width="9.140625" style="186"/>
    <col min="11511" max="11511" width="2.42578125" style="186" customWidth="1"/>
    <col min="11512" max="11512" width="19.42578125" style="186" customWidth="1"/>
    <col min="11513" max="11513" width="18.5703125" style="186" customWidth="1"/>
    <col min="11514" max="11514" width="7" style="186" customWidth="1"/>
    <col min="11515" max="11515" width="6.85546875" style="186" customWidth="1"/>
    <col min="11516" max="11516" width="0" style="186" hidden="1" customWidth="1"/>
    <col min="11517" max="11517" width="7" style="186" customWidth="1"/>
    <col min="11518" max="11518" width="6.7109375" style="186" customWidth="1"/>
    <col min="11519" max="11519" width="0" style="186" hidden="1" customWidth="1"/>
    <col min="11520" max="11520" width="6.85546875" style="186" customWidth="1"/>
    <col min="11521" max="11521" width="5.5703125" style="186" customWidth="1"/>
    <col min="11522" max="11522" width="0" style="186" hidden="1" customWidth="1"/>
    <col min="11523" max="11523" width="0.28515625" style="186" customWidth="1"/>
    <col min="11524" max="11524" width="5.85546875" style="186" customWidth="1"/>
    <col min="11525" max="11525" width="5.5703125" style="186" customWidth="1"/>
    <col min="11526" max="11526" width="0" style="186" hidden="1" customWidth="1"/>
    <col min="11527" max="11527" width="6" style="186" customWidth="1"/>
    <col min="11528" max="11528" width="5.28515625" style="186" customWidth="1"/>
    <col min="11529" max="11529" width="0" style="186" hidden="1" customWidth="1"/>
    <col min="11530" max="11530" width="5.28515625" style="186" customWidth="1"/>
    <col min="11531" max="11531" width="6.28515625" style="186" customWidth="1"/>
    <col min="11532" max="11533" width="0" style="186" hidden="1" customWidth="1"/>
    <col min="11534" max="11534" width="6" style="186" customWidth="1"/>
    <col min="11535" max="11535" width="5.140625" style="186" customWidth="1"/>
    <col min="11536" max="11537" width="0" style="186" hidden="1" customWidth="1"/>
    <col min="11538" max="11538" width="8.7109375" style="186" customWidth="1"/>
    <col min="11539" max="11539" width="7.42578125" style="186" customWidth="1"/>
    <col min="11540" max="11766" width="9.140625" style="186"/>
    <col min="11767" max="11767" width="2.42578125" style="186" customWidth="1"/>
    <col min="11768" max="11768" width="19.42578125" style="186" customWidth="1"/>
    <col min="11769" max="11769" width="18.5703125" style="186" customWidth="1"/>
    <col min="11770" max="11770" width="7" style="186" customWidth="1"/>
    <col min="11771" max="11771" width="6.85546875" style="186" customWidth="1"/>
    <col min="11772" max="11772" width="0" style="186" hidden="1" customWidth="1"/>
    <col min="11773" max="11773" width="7" style="186" customWidth="1"/>
    <col min="11774" max="11774" width="6.7109375" style="186" customWidth="1"/>
    <col min="11775" max="11775" width="0" style="186" hidden="1" customWidth="1"/>
    <col min="11776" max="11776" width="6.85546875" style="186" customWidth="1"/>
    <col min="11777" max="11777" width="5.5703125" style="186" customWidth="1"/>
    <col min="11778" max="11778" width="0" style="186" hidden="1" customWidth="1"/>
    <col min="11779" max="11779" width="0.28515625" style="186" customWidth="1"/>
    <col min="11780" max="11780" width="5.85546875" style="186" customWidth="1"/>
    <col min="11781" max="11781" width="5.5703125" style="186" customWidth="1"/>
    <col min="11782" max="11782" width="0" style="186" hidden="1" customWidth="1"/>
    <col min="11783" max="11783" width="6" style="186" customWidth="1"/>
    <col min="11784" max="11784" width="5.28515625" style="186" customWidth="1"/>
    <col min="11785" max="11785" width="0" style="186" hidden="1" customWidth="1"/>
    <col min="11786" max="11786" width="5.28515625" style="186" customWidth="1"/>
    <col min="11787" max="11787" width="6.28515625" style="186" customWidth="1"/>
    <col min="11788" max="11789" width="0" style="186" hidden="1" customWidth="1"/>
    <col min="11790" max="11790" width="6" style="186" customWidth="1"/>
    <col min="11791" max="11791" width="5.140625" style="186" customWidth="1"/>
    <col min="11792" max="11793" width="0" style="186" hidden="1" customWidth="1"/>
    <col min="11794" max="11794" width="8.7109375" style="186" customWidth="1"/>
    <col min="11795" max="11795" width="7.42578125" style="186" customWidth="1"/>
    <col min="11796" max="12022" width="9.140625" style="186"/>
    <col min="12023" max="12023" width="2.42578125" style="186" customWidth="1"/>
    <col min="12024" max="12024" width="19.42578125" style="186" customWidth="1"/>
    <col min="12025" max="12025" width="18.5703125" style="186" customWidth="1"/>
    <col min="12026" max="12026" width="7" style="186" customWidth="1"/>
    <col min="12027" max="12027" width="6.85546875" style="186" customWidth="1"/>
    <col min="12028" max="12028" width="0" style="186" hidden="1" customWidth="1"/>
    <col min="12029" max="12029" width="7" style="186" customWidth="1"/>
    <col min="12030" max="12030" width="6.7109375" style="186" customWidth="1"/>
    <col min="12031" max="12031" width="0" style="186" hidden="1" customWidth="1"/>
    <col min="12032" max="12032" width="6.85546875" style="186" customWidth="1"/>
    <col min="12033" max="12033" width="5.5703125" style="186" customWidth="1"/>
    <col min="12034" max="12034" width="0" style="186" hidden="1" customWidth="1"/>
    <col min="12035" max="12035" width="0.28515625" style="186" customWidth="1"/>
    <col min="12036" max="12036" width="5.85546875" style="186" customWidth="1"/>
    <col min="12037" max="12037" width="5.5703125" style="186" customWidth="1"/>
    <col min="12038" max="12038" width="0" style="186" hidden="1" customWidth="1"/>
    <col min="12039" max="12039" width="6" style="186" customWidth="1"/>
    <col min="12040" max="12040" width="5.28515625" style="186" customWidth="1"/>
    <col min="12041" max="12041" width="0" style="186" hidden="1" customWidth="1"/>
    <col min="12042" max="12042" width="5.28515625" style="186" customWidth="1"/>
    <col min="12043" max="12043" width="6.28515625" style="186" customWidth="1"/>
    <col min="12044" max="12045" width="0" style="186" hidden="1" customWidth="1"/>
    <col min="12046" max="12046" width="6" style="186" customWidth="1"/>
    <col min="12047" max="12047" width="5.140625" style="186" customWidth="1"/>
    <col min="12048" max="12049" width="0" style="186" hidden="1" customWidth="1"/>
    <col min="12050" max="12050" width="8.7109375" style="186" customWidth="1"/>
    <col min="12051" max="12051" width="7.42578125" style="186" customWidth="1"/>
    <col min="12052" max="12278" width="9.140625" style="186"/>
    <col min="12279" max="12279" width="2.42578125" style="186" customWidth="1"/>
    <col min="12280" max="12280" width="19.42578125" style="186" customWidth="1"/>
    <col min="12281" max="12281" width="18.5703125" style="186" customWidth="1"/>
    <col min="12282" max="12282" width="7" style="186" customWidth="1"/>
    <col min="12283" max="12283" width="6.85546875" style="186" customWidth="1"/>
    <col min="12284" max="12284" width="0" style="186" hidden="1" customWidth="1"/>
    <col min="12285" max="12285" width="7" style="186" customWidth="1"/>
    <col min="12286" max="12286" width="6.7109375" style="186" customWidth="1"/>
    <col min="12287" max="12287" width="0" style="186" hidden="1" customWidth="1"/>
    <col min="12288" max="12288" width="6.85546875" style="186" customWidth="1"/>
    <col min="12289" max="12289" width="5.5703125" style="186" customWidth="1"/>
    <col min="12290" max="12290" width="0" style="186" hidden="1" customWidth="1"/>
    <col min="12291" max="12291" width="0.28515625" style="186" customWidth="1"/>
    <col min="12292" max="12292" width="5.85546875" style="186" customWidth="1"/>
    <col min="12293" max="12293" width="5.5703125" style="186" customWidth="1"/>
    <col min="12294" max="12294" width="0" style="186" hidden="1" customWidth="1"/>
    <col min="12295" max="12295" width="6" style="186" customWidth="1"/>
    <col min="12296" max="12296" width="5.28515625" style="186" customWidth="1"/>
    <col min="12297" max="12297" width="0" style="186" hidden="1" customWidth="1"/>
    <col min="12298" max="12298" width="5.28515625" style="186" customWidth="1"/>
    <col min="12299" max="12299" width="6.28515625" style="186" customWidth="1"/>
    <col min="12300" max="12301" width="0" style="186" hidden="1" customWidth="1"/>
    <col min="12302" max="12302" width="6" style="186" customWidth="1"/>
    <col min="12303" max="12303" width="5.140625" style="186" customWidth="1"/>
    <col min="12304" max="12305" width="0" style="186" hidden="1" customWidth="1"/>
    <col min="12306" max="12306" width="8.7109375" style="186" customWidth="1"/>
    <col min="12307" max="12307" width="7.42578125" style="186" customWidth="1"/>
    <col min="12308" max="12534" width="9.140625" style="186"/>
    <col min="12535" max="12535" width="2.42578125" style="186" customWidth="1"/>
    <col min="12536" max="12536" width="19.42578125" style="186" customWidth="1"/>
    <col min="12537" max="12537" width="18.5703125" style="186" customWidth="1"/>
    <col min="12538" max="12538" width="7" style="186" customWidth="1"/>
    <col min="12539" max="12539" width="6.85546875" style="186" customWidth="1"/>
    <col min="12540" max="12540" width="0" style="186" hidden="1" customWidth="1"/>
    <col min="12541" max="12541" width="7" style="186" customWidth="1"/>
    <col min="12542" max="12542" width="6.7109375" style="186" customWidth="1"/>
    <col min="12543" max="12543" width="0" style="186" hidden="1" customWidth="1"/>
    <col min="12544" max="12544" width="6.85546875" style="186" customWidth="1"/>
    <col min="12545" max="12545" width="5.5703125" style="186" customWidth="1"/>
    <col min="12546" max="12546" width="0" style="186" hidden="1" customWidth="1"/>
    <col min="12547" max="12547" width="0.28515625" style="186" customWidth="1"/>
    <col min="12548" max="12548" width="5.85546875" style="186" customWidth="1"/>
    <col min="12549" max="12549" width="5.5703125" style="186" customWidth="1"/>
    <col min="12550" max="12550" width="0" style="186" hidden="1" customWidth="1"/>
    <col min="12551" max="12551" width="6" style="186" customWidth="1"/>
    <col min="12552" max="12552" width="5.28515625" style="186" customWidth="1"/>
    <col min="12553" max="12553" width="0" style="186" hidden="1" customWidth="1"/>
    <col min="12554" max="12554" width="5.28515625" style="186" customWidth="1"/>
    <col min="12555" max="12555" width="6.28515625" style="186" customWidth="1"/>
    <col min="12556" max="12557" width="0" style="186" hidden="1" customWidth="1"/>
    <col min="12558" max="12558" width="6" style="186" customWidth="1"/>
    <col min="12559" max="12559" width="5.140625" style="186" customWidth="1"/>
    <col min="12560" max="12561" width="0" style="186" hidden="1" customWidth="1"/>
    <col min="12562" max="12562" width="8.7109375" style="186" customWidth="1"/>
    <col min="12563" max="12563" width="7.42578125" style="186" customWidth="1"/>
    <col min="12564" max="12790" width="9.140625" style="186"/>
    <col min="12791" max="12791" width="2.42578125" style="186" customWidth="1"/>
    <col min="12792" max="12792" width="19.42578125" style="186" customWidth="1"/>
    <col min="12793" max="12793" width="18.5703125" style="186" customWidth="1"/>
    <col min="12794" max="12794" width="7" style="186" customWidth="1"/>
    <col min="12795" max="12795" width="6.85546875" style="186" customWidth="1"/>
    <col min="12796" max="12796" width="0" style="186" hidden="1" customWidth="1"/>
    <col min="12797" max="12797" width="7" style="186" customWidth="1"/>
    <col min="12798" max="12798" width="6.7109375" style="186" customWidth="1"/>
    <col min="12799" max="12799" width="0" style="186" hidden="1" customWidth="1"/>
    <col min="12800" max="12800" width="6.85546875" style="186" customWidth="1"/>
    <col min="12801" max="12801" width="5.5703125" style="186" customWidth="1"/>
    <col min="12802" max="12802" width="0" style="186" hidden="1" customWidth="1"/>
    <col min="12803" max="12803" width="0.28515625" style="186" customWidth="1"/>
    <col min="12804" max="12804" width="5.85546875" style="186" customWidth="1"/>
    <col min="12805" max="12805" width="5.5703125" style="186" customWidth="1"/>
    <col min="12806" max="12806" width="0" style="186" hidden="1" customWidth="1"/>
    <col min="12807" max="12807" width="6" style="186" customWidth="1"/>
    <col min="12808" max="12808" width="5.28515625" style="186" customWidth="1"/>
    <col min="12809" max="12809" width="0" style="186" hidden="1" customWidth="1"/>
    <col min="12810" max="12810" width="5.28515625" style="186" customWidth="1"/>
    <col min="12811" max="12811" width="6.28515625" style="186" customWidth="1"/>
    <col min="12812" max="12813" width="0" style="186" hidden="1" customWidth="1"/>
    <col min="12814" max="12814" width="6" style="186" customWidth="1"/>
    <col min="12815" max="12815" width="5.140625" style="186" customWidth="1"/>
    <col min="12816" max="12817" width="0" style="186" hidden="1" customWidth="1"/>
    <col min="12818" max="12818" width="8.7109375" style="186" customWidth="1"/>
    <col min="12819" max="12819" width="7.42578125" style="186" customWidth="1"/>
    <col min="12820" max="13046" width="9.140625" style="186"/>
    <col min="13047" max="13047" width="2.42578125" style="186" customWidth="1"/>
    <col min="13048" max="13048" width="19.42578125" style="186" customWidth="1"/>
    <col min="13049" max="13049" width="18.5703125" style="186" customWidth="1"/>
    <col min="13050" max="13050" width="7" style="186" customWidth="1"/>
    <col min="13051" max="13051" width="6.85546875" style="186" customWidth="1"/>
    <col min="13052" max="13052" width="0" style="186" hidden="1" customWidth="1"/>
    <col min="13053" max="13053" width="7" style="186" customWidth="1"/>
    <col min="13054" max="13054" width="6.7109375" style="186" customWidth="1"/>
    <col min="13055" max="13055" width="0" style="186" hidden="1" customWidth="1"/>
    <col min="13056" max="13056" width="6.85546875" style="186" customWidth="1"/>
    <col min="13057" max="13057" width="5.5703125" style="186" customWidth="1"/>
    <col min="13058" max="13058" width="0" style="186" hidden="1" customWidth="1"/>
    <col min="13059" max="13059" width="0.28515625" style="186" customWidth="1"/>
    <col min="13060" max="13060" width="5.85546875" style="186" customWidth="1"/>
    <col min="13061" max="13061" width="5.5703125" style="186" customWidth="1"/>
    <col min="13062" max="13062" width="0" style="186" hidden="1" customWidth="1"/>
    <col min="13063" max="13063" width="6" style="186" customWidth="1"/>
    <col min="13064" max="13064" width="5.28515625" style="186" customWidth="1"/>
    <col min="13065" max="13065" width="0" style="186" hidden="1" customWidth="1"/>
    <col min="13066" max="13066" width="5.28515625" style="186" customWidth="1"/>
    <col min="13067" max="13067" width="6.28515625" style="186" customWidth="1"/>
    <col min="13068" max="13069" width="0" style="186" hidden="1" customWidth="1"/>
    <col min="13070" max="13070" width="6" style="186" customWidth="1"/>
    <col min="13071" max="13071" width="5.140625" style="186" customWidth="1"/>
    <col min="13072" max="13073" width="0" style="186" hidden="1" customWidth="1"/>
    <col min="13074" max="13074" width="8.7109375" style="186" customWidth="1"/>
    <col min="13075" max="13075" width="7.42578125" style="186" customWidth="1"/>
    <col min="13076" max="13302" width="9.140625" style="186"/>
    <col min="13303" max="13303" width="2.42578125" style="186" customWidth="1"/>
    <col min="13304" max="13304" width="19.42578125" style="186" customWidth="1"/>
    <col min="13305" max="13305" width="18.5703125" style="186" customWidth="1"/>
    <col min="13306" max="13306" width="7" style="186" customWidth="1"/>
    <col min="13307" max="13307" width="6.85546875" style="186" customWidth="1"/>
    <col min="13308" max="13308" width="0" style="186" hidden="1" customWidth="1"/>
    <col min="13309" max="13309" width="7" style="186" customWidth="1"/>
    <col min="13310" max="13310" width="6.7109375" style="186" customWidth="1"/>
    <col min="13311" max="13311" width="0" style="186" hidden="1" customWidth="1"/>
    <col min="13312" max="13312" width="6.85546875" style="186" customWidth="1"/>
    <col min="13313" max="13313" width="5.5703125" style="186" customWidth="1"/>
    <col min="13314" max="13314" width="0" style="186" hidden="1" customWidth="1"/>
    <col min="13315" max="13315" width="0.28515625" style="186" customWidth="1"/>
    <col min="13316" max="13316" width="5.85546875" style="186" customWidth="1"/>
    <col min="13317" max="13317" width="5.5703125" style="186" customWidth="1"/>
    <col min="13318" max="13318" width="0" style="186" hidden="1" customWidth="1"/>
    <col min="13319" max="13319" width="6" style="186" customWidth="1"/>
    <col min="13320" max="13320" width="5.28515625" style="186" customWidth="1"/>
    <col min="13321" max="13321" width="0" style="186" hidden="1" customWidth="1"/>
    <col min="13322" max="13322" width="5.28515625" style="186" customWidth="1"/>
    <col min="13323" max="13323" width="6.28515625" style="186" customWidth="1"/>
    <col min="13324" max="13325" width="0" style="186" hidden="1" customWidth="1"/>
    <col min="13326" max="13326" width="6" style="186" customWidth="1"/>
    <col min="13327" max="13327" width="5.140625" style="186" customWidth="1"/>
    <col min="13328" max="13329" width="0" style="186" hidden="1" customWidth="1"/>
    <col min="13330" max="13330" width="8.7109375" style="186" customWidth="1"/>
    <col min="13331" max="13331" width="7.42578125" style="186" customWidth="1"/>
    <col min="13332" max="13558" width="9.140625" style="186"/>
    <col min="13559" max="13559" width="2.42578125" style="186" customWidth="1"/>
    <col min="13560" max="13560" width="19.42578125" style="186" customWidth="1"/>
    <col min="13561" max="13561" width="18.5703125" style="186" customWidth="1"/>
    <col min="13562" max="13562" width="7" style="186" customWidth="1"/>
    <col min="13563" max="13563" width="6.85546875" style="186" customWidth="1"/>
    <col min="13564" max="13564" width="0" style="186" hidden="1" customWidth="1"/>
    <col min="13565" max="13565" width="7" style="186" customWidth="1"/>
    <col min="13566" max="13566" width="6.7109375" style="186" customWidth="1"/>
    <col min="13567" max="13567" width="0" style="186" hidden="1" customWidth="1"/>
    <col min="13568" max="13568" width="6.85546875" style="186" customWidth="1"/>
    <col min="13569" max="13569" width="5.5703125" style="186" customWidth="1"/>
    <col min="13570" max="13570" width="0" style="186" hidden="1" customWidth="1"/>
    <col min="13571" max="13571" width="0.28515625" style="186" customWidth="1"/>
    <col min="13572" max="13572" width="5.85546875" style="186" customWidth="1"/>
    <col min="13573" max="13573" width="5.5703125" style="186" customWidth="1"/>
    <col min="13574" max="13574" width="0" style="186" hidden="1" customWidth="1"/>
    <col min="13575" max="13575" width="6" style="186" customWidth="1"/>
    <col min="13576" max="13576" width="5.28515625" style="186" customWidth="1"/>
    <col min="13577" max="13577" width="0" style="186" hidden="1" customWidth="1"/>
    <col min="13578" max="13578" width="5.28515625" style="186" customWidth="1"/>
    <col min="13579" max="13579" width="6.28515625" style="186" customWidth="1"/>
    <col min="13580" max="13581" width="0" style="186" hidden="1" customWidth="1"/>
    <col min="13582" max="13582" width="6" style="186" customWidth="1"/>
    <col min="13583" max="13583" width="5.140625" style="186" customWidth="1"/>
    <col min="13584" max="13585" width="0" style="186" hidden="1" customWidth="1"/>
    <col min="13586" max="13586" width="8.7109375" style="186" customWidth="1"/>
    <col min="13587" max="13587" width="7.42578125" style="186" customWidth="1"/>
    <col min="13588" max="13814" width="9.140625" style="186"/>
    <col min="13815" max="13815" width="2.42578125" style="186" customWidth="1"/>
    <col min="13816" max="13816" width="19.42578125" style="186" customWidth="1"/>
    <col min="13817" max="13817" width="18.5703125" style="186" customWidth="1"/>
    <col min="13818" max="13818" width="7" style="186" customWidth="1"/>
    <col min="13819" max="13819" width="6.85546875" style="186" customWidth="1"/>
    <col min="13820" max="13820" width="0" style="186" hidden="1" customWidth="1"/>
    <col min="13821" max="13821" width="7" style="186" customWidth="1"/>
    <col min="13822" max="13822" width="6.7109375" style="186" customWidth="1"/>
    <col min="13823" max="13823" width="0" style="186" hidden="1" customWidth="1"/>
    <col min="13824" max="13824" width="6.85546875" style="186" customWidth="1"/>
    <col min="13825" max="13825" width="5.5703125" style="186" customWidth="1"/>
    <col min="13826" max="13826" width="0" style="186" hidden="1" customWidth="1"/>
    <col min="13827" max="13827" width="0.28515625" style="186" customWidth="1"/>
    <col min="13828" max="13828" width="5.85546875" style="186" customWidth="1"/>
    <col min="13829" max="13829" width="5.5703125" style="186" customWidth="1"/>
    <col min="13830" max="13830" width="0" style="186" hidden="1" customWidth="1"/>
    <col min="13831" max="13831" width="6" style="186" customWidth="1"/>
    <col min="13832" max="13832" width="5.28515625" style="186" customWidth="1"/>
    <col min="13833" max="13833" width="0" style="186" hidden="1" customWidth="1"/>
    <col min="13834" max="13834" width="5.28515625" style="186" customWidth="1"/>
    <col min="13835" max="13835" width="6.28515625" style="186" customWidth="1"/>
    <col min="13836" max="13837" width="0" style="186" hidden="1" customWidth="1"/>
    <col min="13838" max="13838" width="6" style="186" customWidth="1"/>
    <col min="13839" max="13839" width="5.140625" style="186" customWidth="1"/>
    <col min="13840" max="13841" width="0" style="186" hidden="1" customWidth="1"/>
    <col min="13842" max="13842" width="8.7109375" style="186" customWidth="1"/>
    <col min="13843" max="13843" width="7.42578125" style="186" customWidth="1"/>
    <col min="13844" max="14070" width="9.140625" style="186"/>
    <col min="14071" max="14071" width="2.42578125" style="186" customWidth="1"/>
    <col min="14072" max="14072" width="19.42578125" style="186" customWidth="1"/>
    <col min="14073" max="14073" width="18.5703125" style="186" customWidth="1"/>
    <col min="14074" max="14074" width="7" style="186" customWidth="1"/>
    <col min="14075" max="14075" width="6.85546875" style="186" customWidth="1"/>
    <col min="14076" max="14076" width="0" style="186" hidden="1" customWidth="1"/>
    <col min="14077" max="14077" width="7" style="186" customWidth="1"/>
    <col min="14078" max="14078" width="6.7109375" style="186" customWidth="1"/>
    <col min="14079" max="14079" width="0" style="186" hidden="1" customWidth="1"/>
    <col min="14080" max="14080" width="6.85546875" style="186" customWidth="1"/>
    <col min="14081" max="14081" width="5.5703125" style="186" customWidth="1"/>
    <col min="14082" max="14082" width="0" style="186" hidden="1" customWidth="1"/>
    <col min="14083" max="14083" width="0.28515625" style="186" customWidth="1"/>
    <col min="14084" max="14084" width="5.85546875" style="186" customWidth="1"/>
    <col min="14085" max="14085" width="5.5703125" style="186" customWidth="1"/>
    <col min="14086" max="14086" width="0" style="186" hidden="1" customWidth="1"/>
    <col min="14087" max="14087" width="6" style="186" customWidth="1"/>
    <col min="14088" max="14088" width="5.28515625" style="186" customWidth="1"/>
    <col min="14089" max="14089" width="0" style="186" hidden="1" customWidth="1"/>
    <col min="14090" max="14090" width="5.28515625" style="186" customWidth="1"/>
    <col min="14091" max="14091" width="6.28515625" style="186" customWidth="1"/>
    <col min="14092" max="14093" width="0" style="186" hidden="1" customWidth="1"/>
    <col min="14094" max="14094" width="6" style="186" customWidth="1"/>
    <col min="14095" max="14095" width="5.140625" style="186" customWidth="1"/>
    <col min="14096" max="14097" width="0" style="186" hidden="1" customWidth="1"/>
    <col min="14098" max="14098" width="8.7109375" style="186" customWidth="1"/>
    <col min="14099" max="14099" width="7.42578125" style="186" customWidth="1"/>
    <col min="14100" max="14326" width="9.140625" style="186"/>
    <col min="14327" max="14327" width="2.42578125" style="186" customWidth="1"/>
    <col min="14328" max="14328" width="19.42578125" style="186" customWidth="1"/>
    <col min="14329" max="14329" width="18.5703125" style="186" customWidth="1"/>
    <col min="14330" max="14330" width="7" style="186" customWidth="1"/>
    <col min="14331" max="14331" width="6.85546875" style="186" customWidth="1"/>
    <col min="14332" max="14332" width="0" style="186" hidden="1" customWidth="1"/>
    <col min="14333" max="14333" width="7" style="186" customWidth="1"/>
    <col min="14334" max="14334" width="6.7109375" style="186" customWidth="1"/>
    <col min="14335" max="14335" width="0" style="186" hidden="1" customWidth="1"/>
    <col min="14336" max="14336" width="6.85546875" style="186" customWidth="1"/>
    <col min="14337" max="14337" width="5.5703125" style="186" customWidth="1"/>
    <col min="14338" max="14338" width="0" style="186" hidden="1" customWidth="1"/>
    <col min="14339" max="14339" width="0.28515625" style="186" customWidth="1"/>
    <col min="14340" max="14340" width="5.85546875" style="186" customWidth="1"/>
    <col min="14341" max="14341" width="5.5703125" style="186" customWidth="1"/>
    <col min="14342" max="14342" width="0" style="186" hidden="1" customWidth="1"/>
    <col min="14343" max="14343" width="6" style="186" customWidth="1"/>
    <col min="14344" max="14344" width="5.28515625" style="186" customWidth="1"/>
    <col min="14345" max="14345" width="0" style="186" hidden="1" customWidth="1"/>
    <col min="14346" max="14346" width="5.28515625" style="186" customWidth="1"/>
    <col min="14347" max="14347" width="6.28515625" style="186" customWidth="1"/>
    <col min="14348" max="14349" width="0" style="186" hidden="1" customWidth="1"/>
    <col min="14350" max="14350" width="6" style="186" customWidth="1"/>
    <col min="14351" max="14351" width="5.140625" style="186" customWidth="1"/>
    <col min="14352" max="14353" width="0" style="186" hidden="1" customWidth="1"/>
    <col min="14354" max="14354" width="8.7109375" style="186" customWidth="1"/>
    <col min="14355" max="14355" width="7.42578125" style="186" customWidth="1"/>
    <col min="14356" max="14582" width="9.140625" style="186"/>
    <col min="14583" max="14583" width="2.42578125" style="186" customWidth="1"/>
    <col min="14584" max="14584" width="19.42578125" style="186" customWidth="1"/>
    <col min="14585" max="14585" width="18.5703125" style="186" customWidth="1"/>
    <col min="14586" max="14586" width="7" style="186" customWidth="1"/>
    <col min="14587" max="14587" width="6.85546875" style="186" customWidth="1"/>
    <col min="14588" max="14588" width="0" style="186" hidden="1" customWidth="1"/>
    <col min="14589" max="14589" width="7" style="186" customWidth="1"/>
    <col min="14590" max="14590" width="6.7109375" style="186" customWidth="1"/>
    <col min="14591" max="14591" width="0" style="186" hidden="1" customWidth="1"/>
    <col min="14592" max="14592" width="6.85546875" style="186" customWidth="1"/>
    <col min="14593" max="14593" width="5.5703125" style="186" customWidth="1"/>
    <col min="14594" max="14594" width="0" style="186" hidden="1" customWidth="1"/>
    <col min="14595" max="14595" width="0.28515625" style="186" customWidth="1"/>
    <col min="14596" max="14596" width="5.85546875" style="186" customWidth="1"/>
    <col min="14597" max="14597" width="5.5703125" style="186" customWidth="1"/>
    <col min="14598" max="14598" width="0" style="186" hidden="1" customWidth="1"/>
    <col min="14599" max="14599" width="6" style="186" customWidth="1"/>
    <col min="14600" max="14600" width="5.28515625" style="186" customWidth="1"/>
    <col min="14601" max="14601" width="0" style="186" hidden="1" customWidth="1"/>
    <col min="14602" max="14602" width="5.28515625" style="186" customWidth="1"/>
    <col min="14603" max="14603" width="6.28515625" style="186" customWidth="1"/>
    <col min="14604" max="14605" width="0" style="186" hidden="1" customWidth="1"/>
    <col min="14606" max="14606" width="6" style="186" customWidth="1"/>
    <col min="14607" max="14607" width="5.140625" style="186" customWidth="1"/>
    <col min="14608" max="14609" width="0" style="186" hidden="1" customWidth="1"/>
    <col min="14610" max="14610" width="8.7109375" style="186" customWidth="1"/>
    <col min="14611" max="14611" width="7.42578125" style="186" customWidth="1"/>
    <col min="14612" max="14838" width="9.140625" style="186"/>
    <col min="14839" max="14839" width="2.42578125" style="186" customWidth="1"/>
    <col min="14840" max="14840" width="19.42578125" style="186" customWidth="1"/>
    <col min="14841" max="14841" width="18.5703125" style="186" customWidth="1"/>
    <col min="14842" max="14842" width="7" style="186" customWidth="1"/>
    <col min="14843" max="14843" width="6.85546875" style="186" customWidth="1"/>
    <col min="14844" max="14844" width="0" style="186" hidden="1" customWidth="1"/>
    <col min="14845" max="14845" width="7" style="186" customWidth="1"/>
    <col min="14846" max="14846" width="6.7109375" style="186" customWidth="1"/>
    <col min="14847" max="14847" width="0" style="186" hidden="1" customWidth="1"/>
    <col min="14848" max="14848" width="6.85546875" style="186" customWidth="1"/>
    <col min="14849" max="14849" width="5.5703125" style="186" customWidth="1"/>
    <col min="14850" max="14850" width="0" style="186" hidden="1" customWidth="1"/>
    <col min="14851" max="14851" width="0.28515625" style="186" customWidth="1"/>
    <col min="14852" max="14852" width="5.85546875" style="186" customWidth="1"/>
    <col min="14853" max="14853" width="5.5703125" style="186" customWidth="1"/>
    <col min="14854" max="14854" width="0" style="186" hidden="1" customWidth="1"/>
    <col min="14855" max="14855" width="6" style="186" customWidth="1"/>
    <col min="14856" max="14856" width="5.28515625" style="186" customWidth="1"/>
    <col min="14857" max="14857" width="0" style="186" hidden="1" customWidth="1"/>
    <col min="14858" max="14858" width="5.28515625" style="186" customWidth="1"/>
    <col min="14859" max="14859" width="6.28515625" style="186" customWidth="1"/>
    <col min="14860" max="14861" width="0" style="186" hidden="1" customWidth="1"/>
    <col min="14862" max="14862" width="6" style="186" customWidth="1"/>
    <col min="14863" max="14863" width="5.140625" style="186" customWidth="1"/>
    <col min="14864" max="14865" width="0" style="186" hidden="1" customWidth="1"/>
    <col min="14866" max="14866" width="8.7109375" style="186" customWidth="1"/>
    <col min="14867" max="14867" width="7.42578125" style="186" customWidth="1"/>
    <col min="14868" max="15094" width="9.140625" style="186"/>
    <col min="15095" max="15095" width="2.42578125" style="186" customWidth="1"/>
    <col min="15096" max="15096" width="19.42578125" style="186" customWidth="1"/>
    <col min="15097" max="15097" width="18.5703125" style="186" customWidth="1"/>
    <col min="15098" max="15098" width="7" style="186" customWidth="1"/>
    <col min="15099" max="15099" width="6.85546875" style="186" customWidth="1"/>
    <col min="15100" max="15100" width="0" style="186" hidden="1" customWidth="1"/>
    <col min="15101" max="15101" width="7" style="186" customWidth="1"/>
    <col min="15102" max="15102" width="6.7109375" style="186" customWidth="1"/>
    <col min="15103" max="15103" width="0" style="186" hidden="1" customWidth="1"/>
    <col min="15104" max="15104" width="6.85546875" style="186" customWidth="1"/>
    <col min="15105" max="15105" width="5.5703125" style="186" customWidth="1"/>
    <col min="15106" max="15106" width="0" style="186" hidden="1" customWidth="1"/>
    <col min="15107" max="15107" width="0.28515625" style="186" customWidth="1"/>
    <col min="15108" max="15108" width="5.85546875" style="186" customWidth="1"/>
    <col min="15109" max="15109" width="5.5703125" style="186" customWidth="1"/>
    <col min="15110" max="15110" width="0" style="186" hidden="1" customWidth="1"/>
    <col min="15111" max="15111" width="6" style="186" customWidth="1"/>
    <col min="15112" max="15112" width="5.28515625" style="186" customWidth="1"/>
    <col min="15113" max="15113" width="0" style="186" hidden="1" customWidth="1"/>
    <col min="15114" max="15114" width="5.28515625" style="186" customWidth="1"/>
    <col min="15115" max="15115" width="6.28515625" style="186" customWidth="1"/>
    <col min="15116" max="15117" width="0" style="186" hidden="1" customWidth="1"/>
    <col min="15118" max="15118" width="6" style="186" customWidth="1"/>
    <col min="15119" max="15119" width="5.140625" style="186" customWidth="1"/>
    <col min="15120" max="15121" width="0" style="186" hidden="1" customWidth="1"/>
    <col min="15122" max="15122" width="8.7109375" style="186" customWidth="1"/>
    <col min="15123" max="15123" width="7.42578125" style="186" customWidth="1"/>
    <col min="15124" max="15350" width="9.140625" style="186"/>
    <col min="15351" max="15351" width="2.42578125" style="186" customWidth="1"/>
    <col min="15352" max="15352" width="19.42578125" style="186" customWidth="1"/>
    <col min="15353" max="15353" width="18.5703125" style="186" customWidth="1"/>
    <col min="15354" max="15354" width="7" style="186" customWidth="1"/>
    <col min="15355" max="15355" width="6.85546875" style="186" customWidth="1"/>
    <col min="15356" max="15356" width="0" style="186" hidden="1" customWidth="1"/>
    <col min="15357" max="15357" width="7" style="186" customWidth="1"/>
    <col min="15358" max="15358" width="6.7109375" style="186" customWidth="1"/>
    <col min="15359" max="15359" width="0" style="186" hidden="1" customWidth="1"/>
    <col min="15360" max="15360" width="6.85546875" style="186" customWidth="1"/>
    <col min="15361" max="15361" width="5.5703125" style="186" customWidth="1"/>
    <col min="15362" max="15362" width="0" style="186" hidden="1" customWidth="1"/>
    <col min="15363" max="15363" width="0.28515625" style="186" customWidth="1"/>
    <col min="15364" max="15364" width="5.85546875" style="186" customWidth="1"/>
    <col min="15365" max="15365" width="5.5703125" style="186" customWidth="1"/>
    <col min="15366" max="15366" width="0" style="186" hidden="1" customWidth="1"/>
    <col min="15367" max="15367" width="6" style="186" customWidth="1"/>
    <col min="15368" max="15368" width="5.28515625" style="186" customWidth="1"/>
    <col min="15369" max="15369" width="0" style="186" hidden="1" customWidth="1"/>
    <col min="15370" max="15370" width="5.28515625" style="186" customWidth="1"/>
    <col min="15371" max="15371" width="6.28515625" style="186" customWidth="1"/>
    <col min="15372" max="15373" width="0" style="186" hidden="1" customWidth="1"/>
    <col min="15374" max="15374" width="6" style="186" customWidth="1"/>
    <col min="15375" max="15375" width="5.140625" style="186" customWidth="1"/>
    <col min="15376" max="15377" width="0" style="186" hidden="1" customWidth="1"/>
    <col min="15378" max="15378" width="8.7109375" style="186" customWidth="1"/>
    <col min="15379" max="15379" width="7.42578125" style="186" customWidth="1"/>
    <col min="15380" max="15606" width="9.140625" style="186"/>
    <col min="15607" max="15607" width="2.42578125" style="186" customWidth="1"/>
    <col min="15608" max="15608" width="19.42578125" style="186" customWidth="1"/>
    <col min="15609" max="15609" width="18.5703125" style="186" customWidth="1"/>
    <col min="15610" max="15610" width="7" style="186" customWidth="1"/>
    <col min="15611" max="15611" width="6.85546875" style="186" customWidth="1"/>
    <col min="15612" max="15612" width="0" style="186" hidden="1" customWidth="1"/>
    <col min="15613" max="15613" width="7" style="186" customWidth="1"/>
    <col min="15614" max="15614" width="6.7109375" style="186" customWidth="1"/>
    <col min="15615" max="15615" width="0" style="186" hidden="1" customWidth="1"/>
    <col min="15616" max="15616" width="6.85546875" style="186" customWidth="1"/>
    <col min="15617" max="15617" width="5.5703125" style="186" customWidth="1"/>
    <col min="15618" max="15618" width="0" style="186" hidden="1" customWidth="1"/>
    <col min="15619" max="15619" width="0.28515625" style="186" customWidth="1"/>
    <col min="15620" max="15620" width="5.85546875" style="186" customWidth="1"/>
    <col min="15621" max="15621" width="5.5703125" style="186" customWidth="1"/>
    <col min="15622" max="15622" width="0" style="186" hidden="1" customWidth="1"/>
    <col min="15623" max="15623" width="6" style="186" customWidth="1"/>
    <col min="15624" max="15624" width="5.28515625" style="186" customWidth="1"/>
    <col min="15625" max="15625" width="0" style="186" hidden="1" customWidth="1"/>
    <col min="15626" max="15626" width="5.28515625" style="186" customWidth="1"/>
    <col min="15627" max="15627" width="6.28515625" style="186" customWidth="1"/>
    <col min="15628" max="15629" width="0" style="186" hidden="1" customWidth="1"/>
    <col min="15630" max="15630" width="6" style="186" customWidth="1"/>
    <col min="15631" max="15631" width="5.140625" style="186" customWidth="1"/>
    <col min="15632" max="15633" width="0" style="186" hidden="1" customWidth="1"/>
    <col min="15634" max="15634" width="8.7109375" style="186" customWidth="1"/>
    <col min="15635" max="15635" width="7.42578125" style="186" customWidth="1"/>
    <col min="15636" max="15862" width="9.140625" style="186"/>
    <col min="15863" max="15863" width="2.42578125" style="186" customWidth="1"/>
    <col min="15864" max="15864" width="19.42578125" style="186" customWidth="1"/>
    <col min="15865" max="15865" width="18.5703125" style="186" customWidth="1"/>
    <col min="15866" max="15866" width="7" style="186" customWidth="1"/>
    <col min="15867" max="15867" width="6.85546875" style="186" customWidth="1"/>
    <col min="15868" max="15868" width="0" style="186" hidden="1" customWidth="1"/>
    <col min="15869" max="15869" width="7" style="186" customWidth="1"/>
    <col min="15870" max="15870" width="6.7109375" style="186" customWidth="1"/>
    <col min="15871" max="15871" width="0" style="186" hidden="1" customWidth="1"/>
    <col min="15872" max="15872" width="6.85546875" style="186" customWidth="1"/>
    <col min="15873" max="15873" width="5.5703125" style="186" customWidth="1"/>
    <col min="15874" max="15874" width="0" style="186" hidden="1" customWidth="1"/>
    <col min="15875" max="15875" width="0.28515625" style="186" customWidth="1"/>
    <col min="15876" max="15876" width="5.85546875" style="186" customWidth="1"/>
    <col min="15877" max="15877" width="5.5703125" style="186" customWidth="1"/>
    <col min="15878" max="15878" width="0" style="186" hidden="1" customWidth="1"/>
    <col min="15879" max="15879" width="6" style="186" customWidth="1"/>
    <col min="15880" max="15880" width="5.28515625" style="186" customWidth="1"/>
    <col min="15881" max="15881" width="0" style="186" hidden="1" customWidth="1"/>
    <col min="15882" max="15882" width="5.28515625" style="186" customWidth="1"/>
    <col min="15883" max="15883" width="6.28515625" style="186" customWidth="1"/>
    <col min="15884" max="15885" width="0" style="186" hidden="1" customWidth="1"/>
    <col min="15886" max="15886" width="6" style="186" customWidth="1"/>
    <col min="15887" max="15887" width="5.140625" style="186" customWidth="1"/>
    <col min="15888" max="15889" width="0" style="186" hidden="1" customWidth="1"/>
    <col min="15890" max="15890" width="8.7109375" style="186" customWidth="1"/>
    <col min="15891" max="15891" width="7.42578125" style="186" customWidth="1"/>
    <col min="15892" max="16118" width="9.140625" style="186"/>
    <col min="16119" max="16119" width="2.42578125" style="186" customWidth="1"/>
    <col min="16120" max="16120" width="19.42578125" style="186" customWidth="1"/>
    <col min="16121" max="16121" width="18.5703125" style="186" customWidth="1"/>
    <col min="16122" max="16122" width="7" style="186" customWidth="1"/>
    <col min="16123" max="16123" width="6.85546875" style="186" customWidth="1"/>
    <col min="16124" max="16124" width="0" style="186" hidden="1" customWidth="1"/>
    <col min="16125" max="16125" width="7" style="186" customWidth="1"/>
    <col min="16126" max="16126" width="6.7109375" style="186" customWidth="1"/>
    <col min="16127" max="16127" width="0" style="186" hidden="1" customWidth="1"/>
    <col min="16128" max="16128" width="6.85546875" style="186" customWidth="1"/>
    <col min="16129" max="16129" width="5.5703125" style="186" customWidth="1"/>
    <col min="16130" max="16130" width="0" style="186" hidden="1" customWidth="1"/>
    <col min="16131" max="16131" width="0.28515625" style="186" customWidth="1"/>
    <col min="16132" max="16132" width="5.85546875" style="186" customWidth="1"/>
    <col min="16133" max="16133" width="5.5703125" style="186" customWidth="1"/>
    <col min="16134" max="16134" width="0" style="186" hidden="1" customWidth="1"/>
    <col min="16135" max="16135" width="6" style="186" customWidth="1"/>
    <col min="16136" max="16136" width="5.28515625" style="186" customWidth="1"/>
    <col min="16137" max="16137" width="0" style="186" hidden="1" customWidth="1"/>
    <col min="16138" max="16138" width="5.28515625" style="186" customWidth="1"/>
    <col min="16139" max="16139" width="6.28515625" style="186" customWidth="1"/>
    <col min="16140" max="16141" width="0" style="186" hidden="1" customWidth="1"/>
    <col min="16142" max="16142" width="6" style="186" customWidth="1"/>
    <col min="16143" max="16143" width="5.140625" style="186" customWidth="1"/>
    <col min="16144" max="16145" width="0" style="186" hidden="1" customWidth="1"/>
    <col min="16146" max="16146" width="8.7109375" style="186" customWidth="1"/>
    <col min="16147" max="16147" width="7.42578125" style="186" customWidth="1"/>
    <col min="16148" max="16384" width="9.140625" style="186"/>
  </cols>
  <sheetData>
    <row r="1" spans="1:24" s="183" customFormat="1">
      <c r="A1" s="424" t="s">
        <v>498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182"/>
    </row>
    <row r="2" spans="1:24" s="183" customFormat="1">
      <c r="A2" s="424" t="s">
        <v>499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182"/>
    </row>
    <row r="3" spans="1:24" s="183" customFormat="1">
      <c r="A3" s="424" t="s">
        <v>500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182"/>
    </row>
    <row r="4" spans="1:24" s="183" customFormat="1">
      <c r="A4" s="425" t="s">
        <v>509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182"/>
    </row>
    <row r="5" spans="1:24" s="183" customFormat="1">
      <c r="A5" s="425" t="s">
        <v>501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182"/>
    </row>
    <row r="6" spans="1:24" s="183" customFormat="1">
      <c r="A6" s="426"/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7"/>
      <c r="V6" s="182"/>
    </row>
    <row r="7" spans="1:24" s="367" customFormat="1" ht="37.5" customHeight="1">
      <c r="A7" s="418"/>
      <c r="B7" s="420" t="s">
        <v>502</v>
      </c>
      <c r="C7" s="422" t="s">
        <v>503</v>
      </c>
      <c r="D7" s="429" t="s">
        <v>244</v>
      </c>
      <c r="E7" s="430"/>
      <c r="F7" s="431"/>
      <c r="G7" s="432" t="s">
        <v>317</v>
      </c>
      <c r="H7" s="433"/>
      <c r="I7" s="433"/>
      <c r="J7" s="433"/>
      <c r="K7" s="434"/>
      <c r="L7" s="435" t="s">
        <v>340</v>
      </c>
      <c r="M7" s="436"/>
      <c r="N7" s="436"/>
      <c r="O7" s="436"/>
      <c r="P7" s="437"/>
      <c r="Q7" s="364" t="s">
        <v>413</v>
      </c>
      <c r="R7" s="234" t="s">
        <v>456</v>
      </c>
      <c r="S7" s="429" t="s">
        <v>187</v>
      </c>
      <c r="T7" s="430"/>
      <c r="U7" s="428" t="s">
        <v>285</v>
      </c>
      <c r="V7" s="416" t="s">
        <v>542</v>
      </c>
      <c r="W7" s="366"/>
    </row>
    <row r="8" spans="1:24" s="183" customFormat="1">
      <c r="A8" s="419"/>
      <c r="B8" s="421"/>
      <c r="C8" s="423"/>
      <c r="D8" s="215" t="s">
        <v>510</v>
      </c>
      <c r="E8" s="215" t="s">
        <v>504</v>
      </c>
      <c r="F8" s="215"/>
      <c r="G8" s="215" t="s">
        <v>510</v>
      </c>
      <c r="H8" s="215" t="s">
        <v>505</v>
      </c>
      <c r="I8" s="215"/>
      <c r="J8" s="215" t="s">
        <v>506</v>
      </c>
      <c r="K8" s="215"/>
      <c r="L8" s="215" t="s">
        <v>510</v>
      </c>
      <c r="M8" s="215" t="s">
        <v>504</v>
      </c>
      <c r="N8" s="215" t="s">
        <v>504</v>
      </c>
      <c r="O8" s="215"/>
      <c r="P8" s="215"/>
      <c r="Q8" s="215" t="s">
        <v>510</v>
      </c>
      <c r="R8" s="215" t="s">
        <v>505</v>
      </c>
      <c r="S8" s="215" t="s">
        <v>510</v>
      </c>
      <c r="T8" s="215" t="s">
        <v>504</v>
      </c>
      <c r="U8" s="428"/>
      <c r="V8" s="417"/>
    </row>
    <row r="9" spans="1:24" s="365" customFormat="1" ht="42" customHeight="1">
      <c r="A9" s="216">
        <v>1</v>
      </c>
      <c r="B9" s="217"/>
      <c r="C9" s="218" t="s">
        <v>511</v>
      </c>
      <c r="D9" s="218">
        <f>3.6+10.2</f>
        <v>13.8</v>
      </c>
      <c r="E9" s="216"/>
      <c r="F9" s="216"/>
      <c r="G9" s="216">
        <v>10.199999999999999</v>
      </c>
      <c r="H9" s="219"/>
      <c r="I9" s="216"/>
      <c r="J9" s="216"/>
      <c r="K9" s="219"/>
      <c r="L9" s="216">
        <f>10.2+10.2</f>
        <v>20.399999999999999</v>
      </c>
      <c r="M9" s="220"/>
      <c r="N9" s="216"/>
      <c r="O9" s="216"/>
      <c r="P9" s="216"/>
      <c r="Q9" s="216"/>
      <c r="R9" s="219"/>
      <c r="S9" s="216"/>
      <c r="T9" s="216">
        <v>3.84</v>
      </c>
      <c r="U9" s="228">
        <f>SUM(D9:T9)</f>
        <v>48.24</v>
      </c>
      <c r="V9" s="368">
        <v>2964</v>
      </c>
      <c r="W9" s="184"/>
      <c r="X9" s="185"/>
    </row>
    <row r="10" spans="1:24" s="365" customFormat="1" ht="33.75" customHeight="1">
      <c r="A10" s="216">
        <v>2</v>
      </c>
      <c r="B10" s="217"/>
      <c r="C10" s="218" t="s">
        <v>512</v>
      </c>
      <c r="D10" s="218">
        <f>2.4+7.2+7.2</f>
        <v>16.8</v>
      </c>
      <c r="E10" s="216">
        <f>4+2</f>
        <v>6</v>
      </c>
      <c r="F10" s="216"/>
      <c r="G10" s="216">
        <v>7.2</v>
      </c>
      <c r="H10" s="219"/>
      <c r="I10" s="216"/>
      <c r="J10" s="216"/>
      <c r="K10" s="219"/>
      <c r="L10" s="216">
        <v>7.2</v>
      </c>
      <c r="M10" s="220"/>
      <c r="N10" s="216">
        <f>8.4+4.2</f>
        <v>12.6</v>
      </c>
      <c r="O10" s="216"/>
      <c r="P10" s="216"/>
      <c r="Q10" s="216">
        <v>7.2</v>
      </c>
      <c r="R10" s="219">
        <v>16</v>
      </c>
      <c r="S10" s="216">
        <v>7.2</v>
      </c>
      <c r="T10" s="216">
        <f>5.2+5.2</f>
        <v>10.4</v>
      </c>
      <c r="U10" s="228">
        <f t="shared" ref="U10:U23" si="0">SUM(D10:T10)</f>
        <v>90.6</v>
      </c>
      <c r="V10" s="368">
        <v>4454</v>
      </c>
      <c r="W10" s="184"/>
      <c r="X10" s="185"/>
    </row>
    <row r="11" spans="1:24" s="365" customFormat="1" ht="32.25" customHeight="1">
      <c r="A11" s="216">
        <v>3</v>
      </c>
      <c r="B11" s="217"/>
      <c r="C11" s="218" t="s">
        <v>511</v>
      </c>
      <c r="D11" s="221">
        <f>10.2+10.2</f>
        <v>20.399999999999999</v>
      </c>
      <c r="E11" s="219">
        <f>3+3</f>
        <v>6</v>
      </c>
      <c r="F11" s="216"/>
      <c r="G11" s="219"/>
      <c r="H11" s="220"/>
      <c r="I11" s="216"/>
      <c r="J11" s="216"/>
      <c r="K11" s="216"/>
      <c r="L11" s="220"/>
      <c r="M11" s="220"/>
      <c r="N11" s="216">
        <f>2.52+2.52</f>
        <v>5.04</v>
      </c>
      <c r="O11" s="216"/>
      <c r="P11" s="216"/>
      <c r="Q11" s="219">
        <v>10.199999999999999</v>
      </c>
      <c r="R11" s="216">
        <v>4.8</v>
      </c>
      <c r="S11" s="216"/>
      <c r="T11" s="216">
        <f>3.84+3.84</f>
        <v>7.68</v>
      </c>
      <c r="U11" s="228">
        <f t="shared" si="0"/>
        <v>54.12</v>
      </c>
      <c r="V11" s="368">
        <v>3325</v>
      </c>
      <c r="W11" s="184"/>
      <c r="X11" s="185"/>
    </row>
    <row r="12" spans="1:24" s="365" customFormat="1" ht="33" customHeight="1">
      <c r="A12" s="216">
        <v>4</v>
      </c>
      <c r="B12" s="217"/>
      <c r="C12" s="218" t="s">
        <v>516</v>
      </c>
      <c r="D12" s="218">
        <f>5.6+5.6</f>
        <v>11.2</v>
      </c>
      <c r="E12" s="220">
        <f>1.2+1.2</f>
        <v>2.4</v>
      </c>
      <c r="F12" s="216"/>
      <c r="G12" s="216">
        <v>5.6</v>
      </c>
      <c r="H12" s="220">
        <v>1.2</v>
      </c>
      <c r="I12" s="216"/>
      <c r="J12" s="219"/>
      <c r="K12" s="216"/>
      <c r="L12" s="216">
        <f>5.6+5.6</f>
        <v>11.2</v>
      </c>
      <c r="M12" s="220"/>
      <c r="N12" s="219">
        <f>1.2+1.2</f>
        <v>2.4</v>
      </c>
      <c r="O12" s="216"/>
      <c r="P12" s="216"/>
      <c r="Q12" s="216"/>
      <c r="R12" s="216">
        <v>1.2</v>
      </c>
      <c r="S12" s="216">
        <v>9.48</v>
      </c>
      <c r="T12" s="216"/>
      <c r="U12" s="228">
        <f t="shared" si="0"/>
        <v>44.68</v>
      </c>
      <c r="V12" s="368">
        <v>2745</v>
      </c>
      <c r="W12" s="184"/>
      <c r="X12" s="185"/>
    </row>
    <row r="13" spans="1:24" s="365" customFormat="1" ht="34.5" customHeight="1">
      <c r="A13" s="216">
        <v>5</v>
      </c>
      <c r="B13" s="223"/>
      <c r="C13" s="218" t="s">
        <v>512</v>
      </c>
      <c r="D13" s="218">
        <v>7.2</v>
      </c>
      <c r="E13" s="216"/>
      <c r="F13" s="220"/>
      <c r="G13" s="216"/>
      <c r="H13" s="220"/>
      <c r="I13" s="216"/>
      <c r="J13" s="216"/>
      <c r="K13" s="216"/>
      <c r="L13" s="216">
        <f>7.2+7.2</f>
        <v>14.4</v>
      </c>
      <c r="M13" s="219"/>
      <c r="N13" s="219"/>
      <c r="O13" s="216"/>
      <c r="P13" s="216"/>
      <c r="Q13" s="216"/>
      <c r="R13" s="216"/>
      <c r="S13" s="216">
        <v>7.2</v>
      </c>
      <c r="T13" s="216"/>
      <c r="U13" s="228">
        <f t="shared" si="0"/>
        <v>28.8</v>
      </c>
      <c r="V13" s="368">
        <v>1416</v>
      </c>
      <c r="W13" s="184"/>
      <c r="X13" s="185"/>
    </row>
    <row r="14" spans="1:24" s="365" customFormat="1" ht="25.5" customHeight="1">
      <c r="A14" s="216">
        <v>6</v>
      </c>
      <c r="B14" s="217"/>
      <c r="C14" s="218" t="s">
        <v>511</v>
      </c>
      <c r="D14" s="218"/>
      <c r="E14" s="220">
        <v>3</v>
      </c>
      <c r="F14" s="216"/>
      <c r="G14" s="220"/>
      <c r="H14" s="220"/>
      <c r="I14" s="216"/>
      <c r="J14" s="216"/>
      <c r="K14" s="216"/>
      <c r="L14" s="220"/>
      <c r="M14" s="220"/>
      <c r="N14" s="220">
        <v>2.52</v>
      </c>
      <c r="O14" s="216"/>
      <c r="P14" s="216"/>
      <c r="Q14" s="216">
        <v>10.199999999999999</v>
      </c>
      <c r="R14" s="216">
        <v>4.8</v>
      </c>
      <c r="S14" s="216">
        <v>10.199999999999999</v>
      </c>
      <c r="T14" s="216"/>
      <c r="U14" s="228">
        <f t="shared" si="0"/>
        <v>30.72</v>
      </c>
      <c r="V14" s="368">
        <v>1888</v>
      </c>
      <c r="W14" s="184"/>
      <c r="X14" s="185"/>
    </row>
    <row r="15" spans="1:24" s="365" customFormat="1" ht="19.5" hidden="1" customHeight="1">
      <c r="A15" s="216">
        <v>7</v>
      </c>
      <c r="B15" s="223"/>
      <c r="C15" s="218"/>
      <c r="D15" s="218"/>
      <c r="E15" s="216"/>
      <c r="F15" s="220"/>
      <c r="G15" s="216"/>
      <c r="H15" s="220"/>
      <c r="I15" s="216"/>
      <c r="J15" s="216"/>
      <c r="K15" s="216"/>
      <c r="L15" s="216"/>
      <c r="M15" s="220"/>
      <c r="N15" s="216"/>
      <c r="O15" s="216"/>
      <c r="P15" s="216"/>
      <c r="Q15" s="216"/>
      <c r="R15" s="216"/>
      <c r="S15" s="216"/>
      <c r="T15" s="216"/>
      <c r="U15" s="228">
        <f t="shared" si="0"/>
        <v>0</v>
      </c>
      <c r="V15" s="368"/>
      <c r="W15" s="184"/>
      <c r="X15" s="185"/>
    </row>
    <row r="16" spans="1:24" s="365" customFormat="1" ht="18.75" customHeight="1">
      <c r="A16" s="216">
        <v>8</v>
      </c>
      <c r="B16" s="224"/>
      <c r="C16" s="225" t="s">
        <v>515</v>
      </c>
      <c r="D16" s="218">
        <f>15.6+15.6</f>
        <v>31.2</v>
      </c>
      <c r="E16" s="216"/>
      <c r="F16" s="216"/>
      <c r="G16" s="216">
        <v>15.6</v>
      </c>
      <c r="H16" s="220"/>
      <c r="I16" s="216"/>
      <c r="J16" s="216"/>
      <c r="K16" s="216"/>
      <c r="L16" s="216">
        <f>15.6+15.6</f>
        <v>31.2</v>
      </c>
      <c r="M16" s="220"/>
      <c r="N16" s="216"/>
      <c r="O16" s="216"/>
      <c r="P16" s="216"/>
      <c r="Q16" s="216"/>
      <c r="R16" s="216"/>
      <c r="S16" s="216">
        <v>15.6</v>
      </c>
      <c r="T16" s="216"/>
      <c r="U16" s="228">
        <f t="shared" si="0"/>
        <v>93.6</v>
      </c>
      <c r="V16" s="368">
        <v>4601</v>
      </c>
      <c r="W16" s="184"/>
      <c r="X16" s="185"/>
    </row>
    <row r="17" spans="1:24" s="365" customFormat="1" ht="19.5" customHeight="1">
      <c r="A17" s="216">
        <v>9</v>
      </c>
      <c r="B17" s="226"/>
      <c r="C17" s="217" t="s">
        <v>513</v>
      </c>
      <c r="D17" s="218">
        <f>14.6+14.6</f>
        <v>29.2</v>
      </c>
      <c r="E17" s="219"/>
      <c r="F17" s="216"/>
      <c r="G17" s="216">
        <v>14.6</v>
      </c>
      <c r="H17" s="219"/>
      <c r="I17" s="216"/>
      <c r="J17" s="216"/>
      <c r="K17" s="219"/>
      <c r="L17" s="216">
        <f>14.6+14.6</f>
        <v>29.2</v>
      </c>
      <c r="M17" s="216"/>
      <c r="N17" s="216"/>
      <c r="O17" s="216"/>
      <c r="P17" s="216"/>
      <c r="Q17" s="216">
        <v>14.6</v>
      </c>
      <c r="R17" s="216"/>
      <c r="S17" s="216">
        <v>14.6</v>
      </c>
      <c r="T17" s="216"/>
      <c r="U17" s="228">
        <f t="shared" si="0"/>
        <v>102.2</v>
      </c>
      <c r="V17" s="368">
        <v>5023</v>
      </c>
      <c r="W17" s="184"/>
      <c r="X17" s="185"/>
    </row>
    <row r="18" spans="1:24" s="365" customFormat="1" ht="22.5" customHeight="1">
      <c r="A18" s="216">
        <v>10</v>
      </c>
      <c r="B18" s="217"/>
      <c r="C18" s="218" t="s">
        <v>514</v>
      </c>
      <c r="D18" s="218">
        <f>11.6+11.6</f>
        <v>23.2</v>
      </c>
      <c r="E18" s="216"/>
      <c r="F18" s="220"/>
      <c r="G18" s="219">
        <v>11.6</v>
      </c>
      <c r="H18" s="220"/>
      <c r="I18" s="216"/>
      <c r="J18" s="216"/>
      <c r="K18" s="216"/>
      <c r="L18" s="216">
        <f>11.6+11.6</f>
        <v>23.2</v>
      </c>
      <c r="M18" s="220"/>
      <c r="N18" s="216"/>
      <c r="O18" s="216"/>
      <c r="P18" s="216"/>
      <c r="Q18" s="216">
        <v>11.6</v>
      </c>
      <c r="R18" s="216"/>
      <c r="S18" s="216">
        <v>11.6</v>
      </c>
      <c r="T18" s="216"/>
      <c r="U18" s="228">
        <f t="shared" si="0"/>
        <v>81.2</v>
      </c>
      <c r="V18" s="368">
        <v>3991</v>
      </c>
      <c r="W18" s="184"/>
      <c r="X18" s="185"/>
    </row>
    <row r="19" spans="1:24" s="365" customFormat="1" ht="19.5" hidden="1" customHeight="1">
      <c r="A19" s="216">
        <v>11</v>
      </c>
      <c r="B19" s="216"/>
      <c r="C19" s="218"/>
      <c r="D19" s="218"/>
      <c r="E19" s="216"/>
      <c r="F19" s="216"/>
      <c r="G19" s="216"/>
      <c r="H19" s="219"/>
      <c r="I19" s="216"/>
      <c r="J19" s="216"/>
      <c r="K19" s="219"/>
      <c r="L19" s="216"/>
      <c r="M19" s="220"/>
      <c r="N19" s="216"/>
      <c r="O19" s="216"/>
      <c r="P19" s="216"/>
      <c r="Q19" s="216"/>
      <c r="R19" s="216"/>
      <c r="S19" s="216"/>
      <c r="T19" s="216"/>
      <c r="U19" s="228">
        <f t="shared" si="0"/>
        <v>0</v>
      </c>
      <c r="V19" s="368"/>
      <c r="W19" s="184"/>
      <c r="X19" s="185"/>
    </row>
    <row r="20" spans="1:24" s="365" customFormat="1" ht="27" hidden="1" customHeight="1">
      <c r="A20" s="216">
        <v>12</v>
      </c>
      <c r="B20" s="216"/>
      <c r="C20" s="218"/>
      <c r="D20" s="218"/>
      <c r="E20" s="216"/>
      <c r="F20" s="216"/>
      <c r="G20" s="219"/>
      <c r="H20" s="219"/>
      <c r="I20" s="216"/>
      <c r="J20" s="216"/>
      <c r="K20" s="216"/>
      <c r="L20" s="216"/>
      <c r="M20" s="220"/>
      <c r="N20" s="219"/>
      <c r="O20" s="216"/>
      <c r="P20" s="216"/>
      <c r="Q20" s="216"/>
      <c r="R20" s="216"/>
      <c r="S20" s="216"/>
      <c r="T20" s="216"/>
      <c r="U20" s="228">
        <f t="shared" si="0"/>
        <v>0</v>
      </c>
      <c r="V20" s="368"/>
      <c r="W20" s="184"/>
      <c r="X20" s="185"/>
    </row>
    <row r="21" spans="1:24" s="365" customFormat="1" ht="37.5" customHeight="1">
      <c r="A21" s="216">
        <v>13</v>
      </c>
      <c r="B21" s="227"/>
      <c r="C21" s="218" t="s">
        <v>511</v>
      </c>
      <c r="D21" s="218">
        <v>10.199999999999999</v>
      </c>
      <c r="E21" s="216"/>
      <c r="F21" s="216"/>
      <c r="G21" s="219">
        <v>10.199999999999999</v>
      </c>
      <c r="H21" s="220">
        <v>3.8</v>
      </c>
      <c r="I21" s="216"/>
      <c r="J21" s="216">
        <v>3.8</v>
      </c>
      <c r="K21" s="216"/>
      <c r="L21" s="216">
        <v>10.199999999999999</v>
      </c>
      <c r="M21" s="220"/>
      <c r="N21" s="219"/>
      <c r="O21" s="216"/>
      <c r="P21" s="216"/>
      <c r="Q21" s="216"/>
      <c r="R21" s="216"/>
      <c r="S21" s="216">
        <v>10.199999999999999</v>
      </c>
      <c r="T21" s="216">
        <v>3.84</v>
      </c>
      <c r="U21" s="228">
        <f t="shared" si="0"/>
        <v>52.24</v>
      </c>
      <c r="V21" s="368">
        <v>3210</v>
      </c>
      <c r="W21" s="184"/>
      <c r="X21" s="185"/>
    </row>
    <row r="22" spans="1:24" s="365" customFormat="1" ht="32.25" customHeight="1">
      <c r="A22" s="216">
        <v>14</v>
      </c>
      <c r="B22" s="223"/>
      <c r="C22" s="218" t="s">
        <v>512</v>
      </c>
      <c r="D22" s="218">
        <v>7.2</v>
      </c>
      <c r="E22" s="216"/>
      <c r="F22" s="216"/>
      <c r="G22" s="219">
        <v>7.2</v>
      </c>
      <c r="H22" s="220">
        <v>3.2</v>
      </c>
      <c r="I22" s="216"/>
      <c r="J22" s="216">
        <v>3.2</v>
      </c>
      <c r="K22" s="216"/>
      <c r="L22" s="216"/>
      <c r="M22" s="216"/>
      <c r="N22" s="216"/>
      <c r="O22" s="216"/>
      <c r="P22" s="216"/>
      <c r="Q22" s="216">
        <v>7.2</v>
      </c>
      <c r="R22" s="216"/>
      <c r="S22" s="216"/>
      <c r="T22" s="216">
        <f>5.2+5.2</f>
        <v>10.4</v>
      </c>
      <c r="U22" s="228">
        <f t="shared" si="0"/>
        <v>38.4</v>
      </c>
      <c r="V22" s="368">
        <v>1887</v>
      </c>
      <c r="W22" s="184"/>
      <c r="X22" s="185"/>
    </row>
    <row r="23" spans="1:24" s="365" customFormat="1" ht="17.25" customHeight="1">
      <c r="A23" s="216">
        <v>15</v>
      </c>
      <c r="B23" s="226"/>
      <c r="C23" s="218" t="s">
        <v>516</v>
      </c>
      <c r="D23" s="218"/>
      <c r="E23" s="216"/>
      <c r="F23" s="216"/>
      <c r="G23" s="219"/>
      <c r="H23" s="220"/>
      <c r="I23" s="216"/>
      <c r="J23" s="216"/>
      <c r="K23" s="216"/>
      <c r="L23" s="216"/>
      <c r="M23" s="216"/>
      <c r="N23" s="216"/>
      <c r="O23" s="216"/>
      <c r="P23" s="216"/>
      <c r="Q23" s="216">
        <v>5.6</v>
      </c>
      <c r="R23" s="216"/>
      <c r="S23" s="216">
        <f>1.2+1.2</f>
        <v>2.4</v>
      </c>
      <c r="T23" s="216"/>
      <c r="U23" s="228">
        <f t="shared" si="0"/>
        <v>8</v>
      </c>
      <c r="V23" s="368">
        <v>492</v>
      </c>
      <c r="W23" s="184"/>
      <c r="X23" s="185"/>
    </row>
    <row r="24" spans="1:24" s="365" customFormat="1" ht="21.75" customHeight="1">
      <c r="A24" s="216">
        <v>16</v>
      </c>
      <c r="B24" s="223"/>
      <c r="C24" s="225" t="s">
        <v>515</v>
      </c>
      <c r="D24" s="218"/>
      <c r="E24" s="216"/>
      <c r="F24" s="216"/>
      <c r="G24" s="219"/>
      <c r="H24" s="220"/>
      <c r="I24" s="216"/>
      <c r="J24" s="216"/>
      <c r="K24" s="216"/>
      <c r="L24" s="216"/>
      <c r="M24" s="216"/>
      <c r="N24" s="216"/>
      <c r="O24" s="216"/>
      <c r="P24" s="216"/>
      <c r="Q24" s="216">
        <v>15.6</v>
      </c>
      <c r="R24" s="216"/>
      <c r="S24" s="216"/>
      <c r="T24" s="216"/>
      <c r="U24" s="228">
        <f t="shared" ref="U24" si="1">SUM(D24:R24)</f>
        <v>15.6</v>
      </c>
      <c r="V24" s="368">
        <v>767</v>
      </c>
      <c r="W24" s="184"/>
      <c r="X24" s="185"/>
    </row>
    <row r="25" spans="1:24" s="372" customFormat="1">
      <c r="A25" s="216"/>
      <c r="B25" s="222" t="s">
        <v>507</v>
      </c>
      <c r="C25" s="222"/>
      <c r="D25" s="228">
        <f t="shared" ref="D25:P25" si="2">SUM(D9:D22)</f>
        <v>170.4</v>
      </c>
      <c r="E25" s="228">
        <f t="shared" si="2"/>
        <v>17.399999999999999</v>
      </c>
      <c r="F25" s="228">
        <f t="shared" si="2"/>
        <v>0</v>
      </c>
      <c r="G25" s="228">
        <f t="shared" si="2"/>
        <v>82.2</v>
      </c>
      <c r="H25" s="228">
        <f t="shared" si="2"/>
        <v>8.1999999999999993</v>
      </c>
      <c r="I25" s="228">
        <f t="shared" si="2"/>
        <v>0</v>
      </c>
      <c r="J25" s="228">
        <f t="shared" si="2"/>
        <v>7</v>
      </c>
      <c r="K25" s="228">
        <f t="shared" si="2"/>
        <v>0</v>
      </c>
      <c r="L25" s="228">
        <f t="shared" si="2"/>
        <v>147</v>
      </c>
      <c r="M25" s="228">
        <f t="shared" si="2"/>
        <v>0</v>
      </c>
      <c r="N25" s="228">
        <f t="shared" si="2"/>
        <v>22.56</v>
      </c>
      <c r="O25" s="228">
        <f t="shared" si="2"/>
        <v>0</v>
      </c>
      <c r="P25" s="228">
        <f t="shared" si="2"/>
        <v>0</v>
      </c>
      <c r="Q25" s="228">
        <f>SUM(Q9:Q24)</f>
        <v>82.2</v>
      </c>
      <c r="R25" s="228">
        <f t="shared" ref="R25:T25" si="3">SUM(R9:R24)</f>
        <v>26.8</v>
      </c>
      <c r="S25" s="228">
        <f t="shared" si="3"/>
        <v>88.48</v>
      </c>
      <c r="T25" s="228">
        <f t="shared" si="3"/>
        <v>36.159999999999997</v>
      </c>
      <c r="U25" s="369">
        <f>U9+U10+U11+U12+U13+U14+U16+U17+U18+U21+U22+U23+U24</f>
        <v>688.4</v>
      </c>
      <c r="V25" s="373">
        <f>SUM(V9:V24)</f>
        <v>36763</v>
      </c>
      <c r="W25" s="371"/>
    </row>
    <row r="26" spans="1:24" s="372" customFormat="1">
      <c r="A26" s="229"/>
      <c r="B26" s="229"/>
      <c r="C26" s="229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1"/>
      <c r="V26" s="370"/>
    </row>
    <row r="27" spans="1:24" s="183" customFormat="1">
      <c r="A27" s="212"/>
      <c r="B27" s="212"/>
      <c r="C27" s="211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12"/>
      <c r="S27" s="212"/>
      <c r="T27" s="212"/>
      <c r="U27" s="212"/>
    </row>
    <row r="28" spans="1:24" s="183" customFormat="1">
      <c r="A28" s="212"/>
      <c r="B28" s="212"/>
      <c r="C28" s="213" t="s">
        <v>517</v>
      </c>
      <c r="D28" s="212"/>
      <c r="E28" s="212"/>
      <c r="F28" s="232" t="s">
        <v>508</v>
      </c>
      <c r="G28" s="232"/>
      <c r="H28" s="232"/>
      <c r="I28" s="232"/>
      <c r="J28" s="232"/>
      <c r="K28" s="232"/>
      <c r="L28" s="212"/>
      <c r="M28" s="212"/>
      <c r="N28" s="212"/>
      <c r="O28" s="212"/>
      <c r="P28" s="212"/>
      <c r="Q28" s="212"/>
      <c r="R28" s="212"/>
      <c r="S28" s="212"/>
      <c r="T28" s="212"/>
      <c r="U28" s="212"/>
    </row>
    <row r="29" spans="1:24" s="183" customFormat="1">
      <c r="A29" s="214"/>
      <c r="B29" s="214"/>
      <c r="C29" s="213"/>
      <c r="D29" s="212"/>
      <c r="E29" s="212"/>
      <c r="F29" s="232"/>
      <c r="G29" s="232"/>
      <c r="H29" s="232"/>
      <c r="I29" s="232"/>
      <c r="J29" s="232"/>
      <c r="K29" s="232"/>
      <c r="L29" s="212"/>
      <c r="M29" s="212"/>
      <c r="N29" s="212"/>
      <c r="O29" s="212"/>
      <c r="P29" s="212"/>
      <c r="Q29" s="212"/>
      <c r="R29" s="214"/>
      <c r="S29" s="214"/>
      <c r="T29" s="214"/>
      <c r="U29" s="214"/>
      <c r="V29" s="182"/>
    </row>
    <row r="30" spans="1:24" s="183" customFormat="1" ht="14.25" customHeight="1">
      <c r="A30" s="187"/>
      <c r="C30" s="67" t="s">
        <v>518</v>
      </c>
      <c r="D30" s="214"/>
      <c r="E30" s="214"/>
      <c r="F30" s="233"/>
      <c r="G30" s="233"/>
      <c r="H30" s="233"/>
      <c r="I30" s="233"/>
      <c r="J30" s="233"/>
      <c r="K30" s="233"/>
      <c r="L30" s="214"/>
      <c r="M30" s="214"/>
      <c r="N30" s="214"/>
      <c r="O30" s="214"/>
      <c r="P30" s="214"/>
      <c r="Q30" s="214"/>
      <c r="V30" s="182"/>
    </row>
    <row r="31" spans="1:24" s="183" customFormat="1" ht="15.75">
      <c r="A31" s="187"/>
      <c r="D31" s="188"/>
      <c r="E31" s="188"/>
      <c r="F31" s="188"/>
      <c r="G31" s="188"/>
      <c r="H31" s="188"/>
      <c r="V31" s="182"/>
    </row>
    <row r="32" spans="1:24" s="183" customFormat="1" ht="15">
      <c r="A32" s="187"/>
      <c r="C32" s="189"/>
      <c r="D32" s="189"/>
      <c r="E32" s="189"/>
      <c r="F32" s="189"/>
      <c r="G32" s="189"/>
      <c r="V32" s="182"/>
    </row>
    <row r="33" spans="1:22" s="183" customFormat="1" ht="15">
      <c r="A33" s="187"/>
      <c r="C33" s="189"/>
      <c r="D33" s="189"/>
      <c r="E33" s="189"/>
      <c r="F33" s="189"/>
      <c r="G33" s="189"/>
      <c r="V33" s="182"/>
    </row>
    <row r="34" spans="1:22" s="183" customFormat="1" ht="15">
      <c r="A34" s="187"/>
      <c r="C34" s="189"/>
      <c r="D34" s="189"/>
      <c r="E34" s="189"/>
      <c r="F34" s="189"/>
      <c r="G34" s="189"/>
      <c r="V34" s="182"/>
    </row>
    <row r="35" spans="1:22" s="183" customFormat="1" ht="15">
      <c r="A35" s="187"/>
      <c r="C35" s="189"/>
      <c r="D35" s="189"/>
      <c r="E35" s="189"/>
      <c r="F35" s="189"/>
      <c r="G35" s="189"/>
      <c r="V35" s="182"/>
    </row>
    <row r="36" spans="1:22" s="183" customFormat="1" ht="15">
      <c r="A36" s="187"/>
      <c r="C36" s="189"/>
      <c r="D36" s="189"/>
      <c r="E36" s="189"/>
      <c r="F36" s="189"/>
      <c r="G36" s="189"/>
      <c r="V36" s="182"/>
    </row>
    <row r="37" spans="1:22" s="183" customFormat="1" ht="15">
      <c r="A37" s="187"/>
      <c r="C37" s="189"/>
      <c r="D37" s="189"/>
      <c r="E37" s="189"/>
      <c r="F37" s="189"/>
      <c r="G37" s="189"/>
      <c r="V37" s="182"/>
    </row>
    <row r="38" spans="1:22" s="183" customFormat="1">
      <c r="A38" s="187"/>
      <c r="V38" s="182"/>
    </row>
    <row r="39" spans="1:22">
      <c r="D39" s="186"/>
      <c r="E39" s="480"/>
      <c r="F39" s="186"/>
      <c r="G39" s="186"/>
      <c r="H39" s="186"/>
      <c r="I39" s="186"/>
      <c r="J39" s="186"/>
      <c r="L39" s="186"/>
      <c r="M39" s="186"/>
      <c r="N39" s="186"/>
      <c r="Q39" s="186"/>
      <c r="R39" s="186"/>
    </row>
    <row r="40" spans="1:22">
      <c r="D40" s="186"/>
      <c r="E40" s="480"/>
      <c r="F40" s="186"/>
      <c r="G40" s="186"/>
      <c r="H40" s="186"/>
      <c r="I40" s="186"/>
      <c r="J40" s="186"/>
      <c r="L40" s="186"/>
      <c r="M40" s="186"/>
      <c r="N40" s="186"/>
      <c r="Q40" s="186"/>
      <c r="R40" s="186"/>
    </row>
    <row r="41" spans="1:22">
      <c r="D41" s="186"/>
      <c r="E41" s="480"/>
      <c r="F41" s="186"/>
      <c r="G41" s="186"/>
      <c r="H41" s="186"/>
      <c r="I41" s="186"/>
      <c r="J41" s="186"/>
      <c r="L41" s="186"/>
      <c r="M41" s="186"/>
      <c r="N41" s="186"/>
      <c r="Q41" s="186"/>
      <c r="R41" s="186"/>
    </row>
    <row r="42" spans="1:22">
      <c r="D42" s="186"/>
      <c r="E42" s="480"/>
      <c r="F42" s="186"/>
      <c r="G42" s="186"/>
      <c r="H42" s="186"/>
      <c r="I42" s="186"/>
      <c r="J42" s="186"/>
      <c r="L42" s="186"/>
      <c r="M42" s="186"/>
      <c r="N42" s="186"/>
      <c r="Q42" s="186"/>
      <c r="R42" s="186"/>
    </row>
    <row r="43" spans="1:22">
      <c r="D43" s="186"/>
      <c r="E43" s="480"/>
      <c r="F43" s="186"/>
      <c r="G43" s="186"/>
      <c r="H43" s="186"/>
      <c r="I43" s="186"/>
      <c r="J43" s="186"/>
      <c r="L43" s="186"/>
      <c r="M43" s="186"/>
      <c r="N43" s="186"/>
      <c r="Q43" s="186"/>
      <c r="R43" s="186"/>
    </row>
    <row r="44" spans="1:22">
      <c r="D44" s="186"/>
      <c r="E44" s="480"/>
      <c r="F44" s="186"/>
      <c r="G44" s="186"/>
      <c r="H44" s="186"/>
      <c r="I44" s="186"/>
      <c r="J44" s="186"/>
      <c r="L44" s="186"/>
      <c r="M44" s="186"/>
      <c r="N44" s="186"/>
      <c r="Q44" s="186"/>
      <c r="R44" s="186"/>
    </row>
    <row r="45" spans="1:22">
      <c r="D45" s="186"/>
      <c r="E45" s="480"/>
      <c r="F45" s="186"/>
      <c r="G45" s="186"/>
      <c r="H45" s="186"/>
      <c r="I45" s="186"/>
      <c r="J45" s="186"/>
      <c r="L45" s="186"/>
      <c r="M45" s="186"/>
      <c r="N45" s="186"/>
      <c r="Q45" s="186"/>
      <c r="R45" s="186"/>
    </row>
    <row r="46" spans="1:22">
      <c r="D46" s="186"/>
      <c r="E46" s="480"/>
      <c r="F46" s="186"/>
      <c r="G46" s="186"/>
      <c r="H46" s="186"/>
      <c r="I46" s="186"/>
      <c r="J46" s="186"/>
      <c r="L46" s="186"/>
      <c r="M46" s="186"/>
      <c r="N46" s="186"/>
      <c r="Q46" s="186"/>
      <c r="R46" s="186"/>
    </row>
    <row r="47" spans="1:22">
      <c r="D47" s="186"/>
      <c r="E47" s="480"/>
      <c r="F47" s="186"/>
      <c r="G47" s="186"/>
      <c r="H47" s="186"/>
      <c r="I47" s="186"/>
      <c r="J47" s="186"/>
      <c r="L47" s="186"/>
      <c r="M47" s="186"/>
      <c r="N47" s="186"/>
      <c r="Q47" s="186"/>
      <c r="R47" s="186"/>
    </row>
    <row r="48" spans="1:22">
      <c r="D48" s="186"/>
      <c r="E48" s="480"/>
      <c r="F48" s="186"/>
      <c r="G48" s="186"/>
      <c r="H48" s="186"/>
      <c r="I48" s="186"/>
      <c r="J48" s="186"/>
      <c r="L48" s="186"/>
      <c r="M48" s="186"/>
      <c r="N48" s="186"/>
      <c r="Q48" s="186"/>
      <c r="R48" s="186"/>
    </row>
    <row r="49" spans="4:18">
      <c r="D49" s="186"/>
      <c r="E49" s="480"/>
      <c r="F49" s="186"/>
      <c r="G49" s="186"/>
      <c r="H49" s="186"/>
      <c r="I49" s="186"/>
      <c r="J49" s="186"/>
      <c r="L49" s="186"/>
      <c r="M49" s="186"/>
      <c r="N49" s="186"/>
      <c r="Q49" s="186"/>
      <c r="R49" s="186"/>
    </row>
    <row r="50" spans="4:18">
      <c r="D50" s="186"/>
      <c r="E50" s="480"/>
      <c r="F50" s="186"/>
      <c r="G50" s="186"/>
      <c r="H50" s="186"/>
      <c r="I50" s="186"/>
      <c r="J50" s="186"/>
      <c r="L50" s="186"/>
      <c r="M50" s="186"/>
      <c r="N50" s="186"/>
      <c r="Q50" s="186"/>
      <c r="R50" s="186"/>
    </row>
    <row r="51" spans="4:18">
      <c r="D51" s="186"/>
      <c r="E51" s="480"/>
      <c r="F51" s="186"/>
      <c r="G51" s="186"/>
      <c r="H51" s="186"/>
      <c r="I51" s="186"/>
      <c r="J51" s="186"/>
      <c r="L51" s="186"/>
      <c r="M51" s="186"/>
      <c r="N51" s="186"/>
      <c r="Q51" s="186"/>
      <c r="R51" s="186"/>
    </row>
    <row r="52" spans="4:18">
      <c r="D52" s="186"/>
      <c r="E52" s="480"/>
      <c r="F52" s="186"/>
      <c r="G52" s="186"/>
      <c r="H52" s="186"/>
      <c r="I52" s="186"/>
      <c r="J52" s="186"/>
      <c r="L52" s="186"/>
      <c r="M52" s="186"/>
      <c r="N52" s="186"/>
      <c r="Q52" s="186"/>
      <c r="R52" s="186"/>
    </row>
    <row r="53" spans="4:18">
      <c r="D53" s="186"/>
      <c r="E53" s="480"/>
      <c r="F53" s="186"/>
      <c r="G53" s="186"/>
      <c r="H53" s="186"/>
      <c r="I53" s="186"/>
      <c r="J53" s="186"/>
      <c r="L53" s="186"/>
      <c r="M53" s="186"/>
      <c r="N53" s="186"/>
      <c r="Q53" s="186"/>
      <c r="R53" s="186"/>
    </row>
    <row r="54" spans="4:18">
      <c r="D54" s="186"/>
      <c r="E54" s="480"/>
      <c r="F54" s="186"/>
      <c r="G54" s="186"/>
      <c r="H54" s="186"/>
      <c r="I54" s="186"/>
      <c r="J54" s="186"/>
      <c r="L54" s="186"/>
      <c r="M54" s="186"/>
      <c r="N54" s="186"/>
      <c r="Q54" s="186"/>
      <c r="R54" s="186"/>
    </row>
    <row r="55" spans="4:18">
      <c r="D55" s="186"/>
      <c r="E55" s="480"/>
      <c r="F55" s="186"/>
      <c r="G55" s="186"/>
      <c r="H55" s="186"/>
      <c r="I55" s="186"/>
      <c r="J55" s="186"/>
      <c r="L55" s="186"/>
      <c r="M55" s="186"/>
      <c r="N55" s="186"/>
      <c r="Q55" s="186"/>
      <c r="R55" s="186"/>
    </row>
    <row r="56" spans="4:18">
      <c r="D56" s="186"/>
      <c r="E56" s="480"/>
      <c r="F56" s="186"/>
      <c r="G56" s="186"/>
      <c r="H56" s="186"/>
      <c r="I56" s="186"/>
      <c r="J56" s="186"/>
      <c r="L56" s="186"/>
      <c r="M56" s="186"/>
      <c r="N56" s="186"/>
      <c r="Q56" s="186"/>
      <c r="R56" s="186"/>
    </row>
    <row r="57" spans="4:18">
      <c r="D57" s="186"/>
      <c r="E57" s="480"/>
      <c r="F57" s="186"/>
      <c r="G57" s="186"/>
      <c r="H57" s="186"/>
      <c r="I57" s="186"/>
      <c r="J57" s="186"/>
      <c r="L57" s="186"/>
      <c r="M57" s="186"/>
      <c r="N57" s="186"/>
      <c r="Q57" s="186"/>
      <c r="R57" s="186"/>
    </row>
    <row r="58" spans="4:18">
      <c r="D58" s="186"/>
      <c r="E58" s="480"/>
      <c r="F58" s="186"/>
      <c r="G58" s="186"/>
      <c r="H58" s="186"/>
      <c r="I58" s="186"/>
      <c r="J58" s="186"/>
      <c r="L58" s="186"/>
      <c r="M58" s="186"/>
      <c r="N58" s="186"/>
      <c r="Q58" s="186"/>
      <c r="R58" s="186"/>
    </row>
    <row r="59" spans="4:18">
      <c r="D59" s="186"/>
      <c r="E59" s="480"/>
      <c r="F59" s="186"/>
      <c r="G59" s="186"/>
      <c r="H59" s="186"/>
      <c r="I59" s="186"/>
      <c r="J59" s="186"/>
      <c r="L59" s="186"/>
      <c r="M59" s="186"/>
      <c r="N59" s="186"/>
      <c r="Q59" s="186"/>
      <c r="R59" s="186"/>
    </row>
    <row r="60" spans="4:18">
      <c r="D60" s="186"/>
      <c r="E60" s="480"/>
      <c r="F60" s="186"/>
      <c r="G60" s="186"/>
      <c r="H60" s="186"/>
      <c r="I60" s="186"/>
      <c r="J60" s="186"/>
      <c r="L60" s="186"/>
      <c r="M60" s="186"/>
      <c r="N60" s="186"/>
      <c r="Q60" s="186"/>
      <c r="R60" s="186"/>
    </row>
    <row r="61" spans="4:18">
      <c r="D61" s="186"/>
      <c r="E61" s="480"/>
      <c r="F61" s="186"/>
      <c r="G61" s="186"/>
      <c r="H61" s="186"/>
      <c r="I61" s="186"/>
      <c r="J61" s="186"/>
      <c r="L61" s="186"/>
      <c r="M61" s="186"/>
      <c r="N61" s="186"/>
      <c r="Q61" s="186"/>
      <c r="R61" s="186"/>
    </row>
    <row r="62" spans="4:18">
      <c r="D62" s="186"/>
      <c r="E62" s="480"/>
      <c r="F62" s="186"/>
      <c r="G62" s="186"/>
      <c r="H62" s="186"/>
      <c r="I62" s="186"/>
      <c r="J62" s="186"/>
      <c r="L62" s="186"/>
      <c r="M62" s="186"/>
      <c r="N62" s="186"/>
      <c r="Q62" s="186"/>
      <c r="R62" s="186"/>
    </row>
    <row r="63" spans="4:18">
      <c r="D63" s="186"/>
      <c r="E63" s="480"/>
      <c r="F63" s="186"/>
      <c r="G63" s="186"/>
      <c r="H63" s="186"/>
      <c r="I63" s="186"/>
      <c r="J63" s="186"/>
      <c r="L63" s="186"/>
      <c r="M63" s="186"/>
      <c r="N63" s="186"/>
      <c r="Q63" s="186"/>
      <c r="R63" s="186"/>
    </row>
    <row r="64" spans="4:18">
      <c r="D64" s="186"/>
      <c r="E64" s="480"/>
      <c r="F64" s="186"/>
      <c r="G64" s="186"/>
      <c r="H64" s="186"/>
      <c r="I64" s="186"/>
      <c r="J64" s="186"/>
      <c r="L64" s="186"/>
      <c r="M64" s="186"/>
      <c r="N64" s="186"/>
      <c r="Q64" s="186"/>
      <c r="R64" s="186"/>
    </row>
    <row r="65" spans="4:18">
      <c r="D65" s="186"/>
      <c r="E65" s="480"/>
      <c r="F65" s="186"/>
      <c r="G65" s="186"/>
      <c r="H65" s="186"/>
      <c r="I65" s="186"/>
      <c r="J65" s="186"/>
      <c r="L65" s="186"/>
      <c r="M65" s="186"/>
      <c r="N65" s="186"/>
      <c r="Q65" s="186"/>
      <c r="R65" s="186"/>
    </row>
    <row r="66" spans="4:18">
      <c r="D66" s="186"/>
      <c r="E66" s="480"/>
      <c r="F66" s="186"/>
      <c r="G66" s="186"/>
      <c r="H66" s="186"/>
      <c r="I66" s="186"/>
      <c r="J66" s="186"/>
      <c r="L66" s="186"/>
      <c r="M66" s="186"/>
      <c r="N66" s="186"/>
      <c r="Q66" s="186"/>
      <c r="R66" s="186"/>
    </row>
    <row r="67" spans="4:18">
      <c r="D67" s="186"/>
      <c r="E67" s="480"/>
      <c r="F67" s="186"/>
      <c r="G67" s="186"/>
      <c r="H67" s="186"/>
      <c r="I67" s="186"/>
      <c r="J67" s="186"/>
      <c r="L67" s="186"/>
      <c r="M67" s="186"/>
      <c r="N67" s="186"/>
      <c r="Q67" s="186"/>
      <c r="R67" s="186"/>
    </row>
    <row r="68" spans="4:18">
      <c r="D68" s="186"/>
      <c r="E68" s="480"/>
      <c r="F68" s="186"/>
      <c r="G68" s="186"/>
      <c r="H68" s="186"/>
      <c r="I68" s="186"/>
      <c r="J68" s="186"/>
      <c r="L68" s="186"/>
      <c r="M68" s="186"/>
      <c r="N68" s="186"/>
      <c r="Q68" s="186"/>
      <c r="R68" s="186"/>
    </row>
    <row r="69" spans="4:18">
      <c r="D69" s="186"/>
      <c r="E69" s="480"/>
      <c r="F69" s="186"/>
      <c r="G69" s="186"/>
      <c r="H69" s="186"/>
      <c r="I69" s="186"/>
      <c r="J69" s="186"/>
      <c r="L69" s="186"/>
      <c r="M69" s="186"/>
      <c r="N69" s="186"/>
      <c r="Q69" s="186"/>
      <c r="R69" s="186"/>
    </row>
    <row r="70" spans="4:18">
      <c r="D70" s="186"/>
      <c r="E70" s="480"/>
      <c r="F70" s="186"/>
      <c r="G70" s="186"/>
      <c r="H70" s="186"/>
      <c r="I70" s="186"/>
      <c r="J70" s="186"/>
      <c r="L70" s="186"/>
      <c r="M70" s="186"/>
      <c r="N70" s="186"/>
      <c r="Q70" s="186"/>
      <c r="R70" s="186"/>
    </row>
    <row r="71" spans="4:18">
      <c r="D71" s="186"/>
      <c r="E71" s="480"/>
      <c r="F71" s="186"/>
      <c r="G71" s="186"/>
      <c r="H71" s="186"/>
      <c r="I71" s="186"/>
      <c r="J71" s="186"/>
      <c r="L71" s="186"/>
      <c r="M71" s="186"/>
      <c r="N71" s="186"/>
      <c r="Q71" s="186"/>
      <c r="R71" s="186"/>
    </row>
    <row r="72" spans="4:18">
      <c r="D72" s="186"/>
      <c r="E72" s="480"/>
      <c r="F72" s="186"/>
      <c r="G72" s="186"/>
      <c r="H72" s="186"/>
      <c r="I72" s="186"/>
      <c r="J72" s="186"/>
      <c r="L72" s="186"/>
      <c r="M72" s="186"/>
      <c r="N72" s="186"/>
      <c r="Q72" s="186"/>
      <c r="R72" s="186"/>
    </row>
    <row r="73" spans="4:18">
      <c r="D73" s="186"/>
      <c r="E73" s="480"/>
      <c r="F73" s="186"/>
      <c r="G73" s="186"/>
      <c r="H73" s="186"/>
      <c r="I73" s="186"/>
      <c r="J73" s="186"/>
      <c r="L73" s="186"/>
      <c r="M73" s="186"/>
      <c r="N73" s="186"/>
      <c r="Q73" s="186"/>
      <c r="R73" s="186"/>
    </row>
    <row r="74" spans="4:18">
      <c r="D74" s="186"/>
      <c r="E74" s="480"/>
      <c r="F74" s="186"/>
      <c r="G74" s="186"/>
      <c r="H74" s="186"/>
      <c r="I74" s="186"/>
      <c r="J74" s="186"/>
      <c r="L74" s="186"/>
      <c r="M74" s="186"/>
      <c r="N74" s="186"/>
      <c r="Q74" s="186"/>
      <c r="R74" s="186"/>
    </row>
    <row r="75" spans="4:18">
      <c r="D75" s="186"/>
      <c r="E75" s="480"/>
      <c r="F75" s="186"/>
      <c r="G75" s="186"/>
      <c r="H75" s="186"/>
      <c r="I75" s="186"/>
      <c r="J75" s="186"/>
      <c r="L75" s="186"/>
      <c r="M75" s="186"/>
      <c r="N75" s="186"/>
      <c r="Q75" s="186"/>
      <c r="R75" s="186"/>
    </row>
    <row r="76" spans="4:18">
      <c r="D76" s="186"/>
      <c r="E76" s="480"/>
      <c r="F76" s="186"/>
      <c r="G76" s="186"/>
      <c r="H76" s="186"/>
      <c r="I76" s="186"/>
      <c r="J76" s="186"/>
      <c r="L76" s="186"/>
      <c r="M76" s="186"/>
      <c r="N76" s="186"/>
      <c r="Q76" s="186"/>
      <c r="R76" s="186"/>
    </row>
    <row r="77" spans="4:18">
      <c r="D77" s="186"/>
      <c r="E77" s="480"/>
      <c r="F77" s="186"/>
      <c r="G77" s="186"/>
      <c r="H77" s="186"/>
      <c r="I77" s="186"/>
      <c r="J77" s="186"/>
      <c r="L77" s="186"/>
      <c r="M77" s="186"/>
      <c r="N77" s="186"/>
      <c r="Q77" s="186"/>
      <c r="R77" s="186"/>
    </row>
    <row r="78" spans="4:18">
      <c r="D78" s="186"/>
      <c r="E78" s="480"/>
      <c r="F78" s="186"/>
      <c r="G78" s="186"/>
      <c r="H78" s="186"/>
      <c r="I78" s="186"/>
      <c r="J78" s="186"/>
      <c r="L78" s="186"/>
      <c r="M78" s="186"/>
      <c r="N78" s="186"/>
      <c r="Q78" s="186"/>
      <c r="R78" s="186"/>
    </row>
    <row r="79" spans="4:18">
      <c r="D79" s="186"/>
      <c r="E79" s="480"/>
      <c r="F79" s="186"/>
      <c r="G79" s="186"/>
      <c r="H79" s="186"/>
      <c r="I79" s="186"/>
      <c r="J79" s="186"/>
      <c r="L79" s="186"/>
      <c r="M79" s="186"/>
      <c r="N79" s="186"/>
      <c r="Q79" s="186"/>
      <c r="R79" s="186"/>
    </row>
    <row r="80" spans="4:18">
      <c r="D80" s="186"/>
      <c r="E80" s="480"/>
      <c r="F80" s="186"/>
      <c r="G80" s="186"/>
      <c r="H80" s="186"/>
      <c r="I80" s="186"/>
      <c r="J80" s="186"/>
      <c r="L80" s="186"/>
      <c r="M80" s="186"/>
      <c r="N80" s="186"/>
      <c r="Q80" s="186"/>
      <c r="R80" s="186"/>
    </row>
    <row r="81" spans="4:18">
      <c r="D81" s="186"/>
      <c r="E81" s="480"/>
      <c r="F81" s="186"/>
      <c r="G81" s="186"/>
      <c r="H81" s="186"/>
      <c r="I81" s="186"/>
      <c r="J81" s="186"/>
      <c r="L81" s="186"/>
      <c r="M81" s="186"/>
      <c r="N81" s="186"/>
      <c r="Q81" s="186"/>
      <c r="R81" s="186"/>
    </row>
    <row r="82" spans="4:18">
      <c r="D82" s="186"/>
      <c r="E82" s="480"/>
      <c r="F82" s="186"/>
      <c r="G82" s="186"/>
      <c r="H82" s="186"/>
      <c r="I82" s="186"/>
      <c r="J82" s="186"/>
      <c r="L82" s="186"/>
      <c r="M82" s="186"/>
      <c r="N82" s="186"/>
      <c r="Q82" s="186"/>
      <c r="R82" s="186"/>
    </row>
    <row r="83" spans="4:18">
      <c r="D83" s="186"/>
      <c r="E83" s="480"/>
      <c r="F83" s="186"/>
      <c r="G83" s="186"/>
      <c r="H83" s="186"/>
      <c r="I83" s="186"/>
      <c r="J83" s="186"/>
      <c r="L83" s="186"/>
      <c r="M83" s="186"/>
      <c r="N83" s="186"/>
      <c r="Q83" s="186"/>
      <c r="R83" s="186"/>
    </row>
    <row r="84" spans="4:18">
      <c r="D84" s="186"/>
      <c r="E84" s="480"/>
      <c r="F84" s="186"/>
      <c r="G84" s="186"/>
      <c r="H84" s="186"/>
      <c r="I84" s="186"/>
      <c r="J84" s="186"/>
      <c r="L84" s="186"/>
      <c r="M84" s="186"/>
      <c r="N84" s="186"/>
      <c r="Q84" s="186"/>
      <c r="R84" s="186"/>
    </row>
    <row r="85" spans="4:18">
      <c r="D85" s="186"/>
      <c r="E85" s="480"/>
      <c r="F85" s="186"/>
      <c r="G85" s="186"/>
      <c r="H85" s="186"/>
      <c r="I85" s="186"/>
      <c r="J85" s="186"/>
      <c r="L85" s="186"/>
      <c r="M85" s="186"/>
      <c r="N85" s="186"/>
      <c r="Q85" s="186"/>
      <c r="R85" s="186"/>
    </row>
    <row r="86" spans="4:18">
      <c r="D86" s="186"/>
      <c r="E86" s="480"/>
      <c r="F86" s="186"/>
      <c r="G86" s="186"/>
      <c r="H86" s="186"/>
      <c r="I86" s="186"/>
      <c r="J86" s="186"/>
      <c r="L86" s="186"/>
      <c r="M86" s="186"/>
      <c r="N86" s="186"/>
      <c r="Q86" s="186"/>
      <c r="R86" s="186"/>
    </row>
    <row r="87" spans="4:18">
      <c r="D87" s="186"/>
      <c r="E87" s="480"/>
      <c r="F87" s="186"/>
      <c r="G87" s="186"/>
      <c r="H87" s="186"/>
      <c r="I87" s="186"/>
      <c r="J87" s="186"/>
      <c r="L87" s="186"/>
      <c r="M87" s="186"/>
      <c r="N87" s="186"/>
      <c r="Q87" s="186"/>
      <c r="R87" s="186"/>
    </row>
    <row r="88" spans="4:18">
      <c r="D88" s="186"/>
      <c r="E88" s="480"/>
      <c r="F88" s="186"/>
      <c r="G88" s="186"/>
      <c r="H88" s="186"/>
      <c r="I88" s="186"/>
      <c r="J88" s="186"/>
      <c r="L88" s="186"/>
      <c r="M88" s="186"/>
      <c r="N88" s="186"/>
      <c r="Q88" s="186"/>
      <c r="R88" s="186"/>
    </row>
    <row r="89" spans="4:18">
      <c r="D89" s="186"/>
      <c r="E89" s="480"/>
      <c r="F89" s="186"/>
      <c r="G89" s="186"/>
      <c r="H89" s="186"/>
      <c r="I89" s="186"/>
      <c r="J89" s="186"/>
      <c r="L89" s="186"/>
      <c r="M89" s="186"/>
      <c r="N89" s="186"/>
      <c r="Q89" s="186"/>
      <c r="R89" s="186"/>
    </row>
    <row r="90" spans="4:18">
      <c r="D90" s="186"/>
      <c r="E90" s="480"/>
      <c r="F90" s="186"/>
      <c r="G90" s="186"/>
      <c r="H90" s="186"/>
      <c r="I90" s="186"/>
      <c r="J90" s="186"/>
      <c r="L90" s="186"/>
      <c r="M90" s="186"/>
      <c r="N90" s="186"/>
      <c r="Q90" s="186"/>
      <c r="R90" s="186"/>
    </row>
    <row r="91" spans="4:18">
      <c r="D91" s="186"/>
      <c r="E91" s="480"/>
      <c r="F91" s="186"/>
      <c r="G91" s="186"/>
      <c r="H91" s="186"/>
      <c r="I91" s="186"/>
      <c r="J91" s="186"/>
      <c r="L91" s="186"/>
      <c r="M91" s="186"/>
      <c r="N91" s="186"/>
      <c r="Q91" s="186"/>
      <c r="R91" s="186"/>
    </row>
    <row r="92" spans="4:18">
      <c r="D92" s="186"/>
      <c r="E92" s="480"/>
      <c r="F92" s="186"/>
      <c r="G92" s="186"/>
      <c r="H92" s="186"/>
      <c r="I92" s="186"/>
      <c r="J92" s="186"/>
      <c r="L92" s="186"/>
      <c r="M92" s="186"/>
      <c r="N92" s="186"/>
      <c r="Q92" s="186"/>
      <c r="R92" s="186"/>
    </row>
    <row r="93" spans="4:18">
      <c r="D93" s="186"/>
      <c r="E93" s="480"/>
      <c r="F93" s="186"/>
      <c r="G93" s="186"/>
      <c r="H93" s="186"/>
      <c r="I93" s="186"/>
      <c r="J93" s="186"/>
      <c r="L93" s="186"/>
      <c r="M93" s="186"/>
      <c r="N93" s="186"/>
      <c r="Q93" s="186"/>
      <c r="R93" s="186"/>
    </row>
    <row r="94" spans="4:18">
      <c r="D94" s="186"/>
      <c r="E94" s="480"/>
      <c r="F94" s="186"/>
      <c r="G94" s="186"/>
      <c r="H94" s="186"/>
      <c r="I94" s="186"/>
      <c r="J94" s="186"/>
      <c r="L94" s="186"/>
      <c r="M94" s="186"/>
      <c r="N94" s="186"/>
      <c r="Q94" s="186"/>
      <c r="R94" s="186"/>
    </row>
    <row r="95" spans="4:18">
      <c r="D95" s="186"/>
      <c r="E95" s="480"/>
      <c r="F95" s="186"/>
      <c r="G95" s="186"/>
      <c r="H95" s="186"/>
      <c r="I95" s="186"/>
      <c r="J95" s="186"/>
      <c r="L95" s="186"/>
      <c r="M95" s="186"/>
      <c r="N95" s="186"/>
      <c r="Q95" s="186"/>
      <c r="R95" s="186"/>
    </row>
    <row r="96" spans="4:18">
      <c r="D96" s="186"/>
      <c r="E96" s="480"/>
      <c r="F96" s="186"/>
      <c r="G96" s="186"/>
      <c r="H96" s="186"/>
      <c r="I96" s="186"/>
      <c r="J96" s="186"/>
      <c r="L96" s="186"/>
      <c r="M96" s="186"/>
      <c r="N96" s="186"/>
      <c r="Q96" s="186"/>
      <c r="R96" s="186"/>
    </row>
    <row r="97" spans="4:18">
      <c r="D97" s="186"/>
      <c r="E97" s="480"/>
      <c r="F97" s="186"/>
      <c r="G97" s="186"/>
      <c r="H97" s="186"/>
      <c r="I97" s="186"/>
      <c r="J97" s="186"/>
      <c r="L97" s="186"/>
      <c r="M97" s="186"/>
      <c r="N97" s="186"/>
      <c r="Q97" s="186"/>
      <c r="R97" s="186"/>
    </row>
    <row r="98" spans="4:18">
      <c r="D98" s="186"/>
      <c r="E98" s="480"/>
      <c r="F98" s="186"/>
      <c r="G98" s="186"/>
      <c r="H98" s="186"/>
      <c r="I98" s="186"/>
      <c r="J98" s="186"/>
      <c r="L98" s="186"/>
      <c r="M98" s="186"/>
      <c r="N98" s="186"/>
      <c r="Q98" s="186"/>
      <c r="R98" s="186"/>
    </row>
    <row r="99" spans="4:18">
      <c r="D99" s="186"/>
      <c r="E99" s="480"/>
      <c r="F99" s="186"/>
      <c r="G99" s="186"/>
      <c r="H99" s="186"/>
      <c r="I99" s="186"/>
      <c r="J99" s="186"/>
      <c r="L99" s="186"/>
      <c r="M99" s="186"/>
      <c r="N99" s="186"/>
      <c r="Q99" s="186"/>
      <c r="R99" s="186"/>
    </row>
    <row r="100" spans="4:18">
      <c r="D100" s="186"/>
      <c r="E100" s="480"/>
      <c r="F100" s="186"/>
      <c r="G100" s="186"/>
      <c r="H100" s="186"/>
      <c r="I100" s="186"/>
      <c r="J100" s="186"/>
      <c r="L100" s="186"/>
      <c r="M100" s="186"/>
      <c r="N100" s="186"/>
      <c r="Q100" s="186"/>
      <c r="R100" s="186"/>
    </row>
    <row r="101" spans="4:18">
      <c r="D101" s="186"/>
      <c r="E101" s="480"/>
      <c r="F101" s="186"/>
      <c r="G101" s="186"/>
      <c r="H101" s="186"/>
      <c r="I101" s="186"/>
      <c r="J101" s="186"/>
      <c r="L101" s="186"/>
      <c r="M101" s="186"/>
      <c r="N101" s="186"/>
      <c r="Q101" s="186"/>
      <c r="R101" s="186"/>
    </row>
    <row r="102" spans="4:18">
      <c r="D102" s="186"/>
      <c r="E102" s="480"/>
      <c r="F102" s="186"/>
      <c r="G102" s="186"/>
      <c r="H102" s="186"/>
      <c r="I102" s="186"/>
      <c r="J102" s="186"/>
      <c r="L102" s="186"/>
      <c r="M102" s="186"/>
      <c r="N102" s="186"/>
      <c r="Q102" s="186"/>
      <c r="R102" s="186"/>
    </row>
    <row r="103" spans="4:18">
      <c r="D103" s="186"/>
      <c r="E103" s="480"/>
      <c r="F103" s="186"/>
      <c r="G103" s="186"/>
      <c r="H103" s="186"/>
      <c r="I103" s="186"/>
      <c r="J103" s="186"/>
      <c r="L103" s="186"/>
      <c r="M103" s="186"/>
      <c r="N103" s="186"/>
      <c r="Q103" s="186"/>
      <c r="R103" s="186"/>
    </row>
    <row r="104" spans="4:18">
      <c r="D104" s="186"/>
      <c r="E104" s="480"/>
      <c r="F104" s="186"/>
      <c r="G104" s="186"/>
      <c r="H104" s="186"/>
      <c r="I104" s="186"/>
      <c r="J104" s="186"/>
      <c r="L104" s="186"/>
      <c r="M104" s="186"/>
      <c r="N104" s="186"/>
      <c r="Q104" s="186"/>
      <c r="R104" s="186"/>
    </row>
    <row r="105" spans="4:18">
      <c r="D105" s="186"/>
      <c r="E105" s="480"/>
      <c r="F105" s="186"/>
      <c r="G105" s="186"/>
      <c r="H105" s="186"/>
      <c r="I105" s="186"/>
      <c r="J105" s="186"/>
      <c r="L105" s="186"/>
      <c r="M105" s="186"/>
      <c r="N105" s="186"/>
      <c r="Q105" s="186"/>
      <c r="R105" s="186"/>
    </row>
    <row r="106" spans="4:18">
      <c r="D106" s="186"/>
      <c r="E106" s="480"/>
      <c r="F106" s="186"/>
      <c r="G106" s="186"/>
      <c r="H106" s="186"/>
      <c r="I106" s="186"/>
      <c r="J106" s="186"/>
      <c r="L106" s="186"/>
      <c r="M106" s="186"/>
      <c r="N106" s="186"/>
      <c r="Q106" s="186"/>
      <c r="R106" s="186"/>
    </row>
    <row r="107" spans="4:18">
      <c r="D107" s="186"/>
      <c r="E107" s="480"/>
      <c r="F107" s="186"/>
      <c r="G107" s="186"/>
      <c r="H107" s="186"/>
      <c r="I107" s="186"/>
      <c r="J107" s="186"/>
      <c r="L107" s="186"/>
      <c r="M107" s="186"/>
      <c r="N107" s="186"/>
      <c r="Q107" s="186"/>
      <c r="R107" s="186"/>
    </row>
    <row r="108" spans="4:18">
      <c r="D108" s="186"/>
      <c r="E108" s="480"/>
      <c r="F108" s="186"/>
      <c r="G108" s="186"/>
      <c r="H108" s="186"/>
      <c r="I108" s="186"/>
      <c r="J108" s="186"/>
      <c r="L108" s="186"/>
      <c r="M108" s="186"/>
      <c r="N108" s="186"/>
      <c r="Q108" s="186"/>
      <c r="R108" s="186"/>
    </row>
    <row r="109" spans="4:18">
      <c r="D109" s="186"/>
      <c r="E109" s="480"/>
      <c r="F109" s="186"/>
      <c r="G109" s="186"/>
      <c r="H109" s="186"/>
      <c r="I109" s="186"/>
      <c r="J109" s="186"/>
      <c r="L109" s="186"/>
      <c r="M109" s="186"/>
      <c r="N109" s="186"/>
      <c r="Q109" s="186"/>
      <c r="R109" s="186"/>
    </row>
    <row r="110" spans="4:18">
      <c r="D110" s="186"/>
      <c r="E110" s="480"/>
      <c r="F110" s="186"/>
      <c r="G110" s="186"/>
      <c r="H110" s="186"/>
      <c r="I110" s="186"/>
      <c r="J110" s="186"/>
      <c r="L110" s="186"/>
      <c r="M110" s="186"/>
      <c r="N110" s="186"/>
      <c r="Q110" s="186"/>
      <c r="R110" s="186"/>
    </row>
    <row r="111" spans="4:18">
      <c r="D111" s="186"/>
      <c r="E111" s="480"/>
      <c r="F111" s="186"/>
      <c r="G111" s="186"/>
      <c r="H111" s="186"/>
      <c r="I111" s="186"/>
      <c r="J111" s="186"/>
      <c r="L111" s="186"/>
      <c r="M111" s="186"/>
      <c r="N111" s="186"/>
      <c r="Q111" s="186"/>
      <c r="R111" s="186"/>
    </row>
    <row r="112" spans="4:18">
      <c r="D112" s="186"/>
      <c r="E112" s="480"/>
      <c r="F112" s="186"/>
      <c r="G112" s="186"/>
      <c r="H112" s="186"/>
      <c r="I112" s="186"/>
      <c r="J112" s="186"/>
      <c r="L112" s="186"/>
      <c r="M112" s="186"/>
      <c r="N112" s="186"/>
      <c r="Q112" s="186"/>
      <c r="R112" s="186"/>
    </row>
    <row r="113" spans="4:18">
      <c r="D113" s="186"/>
      <c r="E113" s="480"/>
      <c r="F113" s="186"/>
      <c r="G113" s="186"/>
      <c r="H113" s="186"/>
      <c r="I113" s="186"/>
      <c r="J113" s="186"/>
      <c r="L113" s="186"/>
      <c r="M113" s="186"/>
      <c r="N113" s="186"/>
      <c r="Q113" s="186"/>
      <c r="R113" s="186"/>
    </row>
    <row r="114" spans="4:18">
      <c r="D114" s="186"/>
      <c r="E114" s="480"/>
      <c r="F114" s="186"/>
      <c r="G114" s="186"/>
      <c r="H114" s="186"/>
      <c r="I114" s="186"/>
      <c r="J114" s="186"/>
      <c r="L114" s="186"/>
      <c r="M114" s="186"/>
      <c r="N114" s="186"/>
      <c r="Q114" s="186"/>
      <c r="R114" s="186"/>
    </row>
    <row r="115" spans="4:18">
      <c r="D115" s="186"/>
      <c r="E115" s="480"/>
      <c r="F115" s="186"/>
      <c r="G115" s="186"/>
      <c r="H115" s="186"/>
      <c r="I115" s="186"/>
      <c r="J115" s="186"/>
      <c r="L115" s="186"/>
      <c r="M115" s="186"/>
      <c r="N115" s="186"/>
      <c r="Q115" s="186"/>
      <c r="R115" s="186"/>
    </row>
    <row r="116" spans="4:18">
      <c r="D116" s="186"/>
      <c r="E116" s="480"/>
      <c r="F116" s="186"/>
      <c r="G116" s="186"/>
      <c r="H116" s="186"/>
      <c r="I116" s="186"/>
      <c r="J116" s="186"/>
      <c r="L116" s="186"/>
      <c r="M116" s="186"/>
      <c r="N116" s="186"/>
      <c r="Q116" s="186"/>
      <c r="R116" s="186"/>
    </row>
    <row r="117" spans="4:18">
      <c r="D117" s="186"/>
      <c r="E117" s="480"/>
      <c r="F117" s="186"/>
      <c r="G117" s="186"/>
      <c r="H117" s="186"/>
      <c r="I117" s="186"/>
      <c r="J117" s="186"/>
      <c r="L117" s="186"/>
      <c r="M117" s="186"/>
      <c r="N117" s="186"/>
      <c r="Q117" s="186"/>
      <c r="R117" s="186"/>
    </row>
    <row r="118" spans="4:18">
      <c r="D118" s="186"/>
      <c r="E118" s="480"/>
      <c r="F118" s="186"/>
      <c r="G118" s="186"/>
      <c r="H118" s="186"/>
      <c r="I118" s="186"/>
      <c r="J118" s="186"/>
      <c r="L118" s="186"/>
      <c r="M118" s="186"/>
      <c r="N118" s="186"/>
      <c r="Q118" s="186"/>
      <c r="R118" s="186"/>
    </row>
    <row r="119" spans="4:18">
      <c r="D119" s="186"/>
      <c r="E119" s="480"/>
      <c r="F119" s="186"/>
      <c r="G119" s="186"/>
      <c r="H119" s="186"/>
      <c r="I119" s="186"/>
      <c r="J119" s="186"/>
      <c r="L119" s="186"/>
      <c r="M119" s="186"/>
      <c r="N119" s="186"/>
      <c r="Q119" s="186"/>
      <c r="R119" s="186"/>
    </row>
    <row r="120" spans="4:18">
      <c r="D120" s="186"/>
      <c r="E120" s="480"/>
      <c r="F120" s="186"/>
      <c r="G120" s="186"/>
      <c r="H120" s="186"/>
      <c r="I120" s="186"/>
      <c r="J120" s="186"/>
      <c r="L120" s="186"/>
      <c r="M120" s="186"/>
      <c r="N120" s="186"/>
      <c r="Q120" s="186"/>
      <c r="R120" s="186"/>
    </row>
    <row r="121" spans="4:18">
      <c r="D121" s="186"/>
      <c r="E121" s="480"/>
      <c r="F121" s="186"/>
      <c r="G121" s="186"/>
      <c r="H121" s="186"/>
      <c r="I121" s="186"/>
      <c r="J121" s="186"/>
      <c r="L121" s="186"/>
      <c r="M121" s="186"/>
      <c r="N121" s="186"/>
      <c r="Q121" s="186"/>
      <c r="R121" s="186"/>
    </row>
    <row r="122" spans="4:18">
      <c r="D122" s="186"/>
      <c r="E122" s="480"/>
      <c r="F122" s="186"/>
      <c r="G122" s="186"/>
      <c r="H122" s="186"/>
      <c r="I122" s="186"/>
      <c r="J122" s="186"/>
      <c r="L122" s="186"/>
      <c r="M122" s="186"/>
      <c r="N122" s="186"/>
      <c r="Q122" s="186"/>
      <c r="R122" s="186"/>
    </row>
    <row r="123" spans="4:18">
      <c r="D123" s="186"/>
      <c r="E123" s="480"/>
      <c r="F123" s="186"/>
      <c r="G123" s="186"/>
      <c r="H123" s="186"/>
      <c r="I123" s="186"/>
      <c r="J123" s="186"/>
      <c r="L123" s="186"/>
      <c r="M123" s="186"/>
      <c r="N123" s="186"/>
      <c r="Q123" s="186"/>
      <c r="R123" s="186"/>
    </row>
    <row r="124" spans="4:18">
      <c r="D124" s="186"/>
      <c r="E124" s="480"/>
      <c r="F124" s="186"/>
      <c r="G124" s="186"/>
      <c r="H124" s="186"/>
      <c r="I124" s="186"/>
      <c r="J124" s="186"/>
      <c r="L124" s="186"/>
      <c r="M124" s="186"/>
      <c r="N124" s="186"/>
      <c r="Q124" s="186"/>
      <c r="R124" s="186"/>
    </row>
    <row r="125" spans="4:18">
      <c r="D125" s="186"/>
      <c r="E125" s="480"/>
      <c r="F125" s="186"/>
      <c r="G125" s="186"/>
      <c r="H125" s="186"/>
      <c r="I125" s="186"/>
      <c r="J125" s="186"/>
      <c r="L125" s="186"/>
      <c r="M125" s="186"/>
      <c r="N125" s="186"/>
      <c r="Q125" s="186"/>
      <c r="R125" s="186"/>
    </row>
    <row r="126" spans="4:18">
      <c r="D126" s="186"/>
      <c r="E126" s="480"/>
      <c r="F126" s="186"/>
      <c r="G126" s="186"/>
      <c r="H126" s="186"/>
      <c r="I126" s="186"/>
      <c r="J126" s="186"/>
      <c r="L126" s="186"/>
      <c r="M126" s="186"/>
      <c r="N126" s="186"/>
      <c r="Q126" s="186"/>
      <c r="R126" s="186"/>
    </row>
    <row r="127" spans="4:18">
      <c r="D127" s="186"/>
      <c r="E127" s="480"/>
      <c r="F127" s="186"/>
      <c r="G127" s="186"/>
      <c r="H127" s="186"/>
      <c r="I127" s="186"/>
      <c r="J127" s="186"/>
      <c r="L127" s="186"/>
      <c r="M127" s="186"/>
      <c r="N127" s="186"/>
      <c r="Q127" s="186"/>
      <c r="R127" s="186"/>
    </row>
    <row r="128" spans="4:18">
      <c r="D128" s="186"/>
      <c r="E128" s="480"/>
      <c r="F128" s="186"/>
      <c r="G128" s="186"/>
      <c r="H128" s="186"/>
      <c r="I128" s="186"/>
      <c r="J128" s="186"/>
      <c r="L128" s="186"/>
      <c r="M128" s="186"/>
      <c r="N128" s="186"/>
      <c r="Q128" s="186"/>
      <c r="R128" s="186"/>
    </row>
    <row r="129" spans="4:18">
      <c r="D129" s="186"/>
      <c r="E129" s="480"/>
      <c r="F129" s="186"/>
      <c r="G129" s="186"/>
      <c r="H129" s="186"/>
      <c r="I129" s="186"/>
      <c r="J129" s="186"/>
      <c r="L129" s="186"/>
      <c r="M129" s="186"/>
      <c r="N129" s="186"/>
      <c r="Q129" s="186"/>
      <c r="R129" s="186"/>
    </row>
    <row r="130" spans="4:18">
      <c r="D130" s="186"/>
      <c r="E130" s="480"/>
      <c r="F130" s="186"/>
      <c r="G130" s="186"/>
      <c r="H130" s="186"/>
      <c r="I130" s="186"/>
      <c r="J130" s="186"/>
      <c r="L130" s="186"/>
      <c r="M130" s="186"/>
      <c r="N130" s="186"/>
      <c r="Q130" s="186"/>
      <c r="R130" s="186"/>
    </row>
    <row r="131" spans="4:18">
      <c r="D131" s="186"/>
      <c r="E131" s="480"/>
      <c r="F131" s="186"/>
      <c r="G131" s="186"/>
      <c r="H131" s="186"/>
      <c r="I131" s="186"/>
      <c r="J131" s="186"/>
      <c r="L131" s="186"/>
      <c r="M131" s="186"/>
      <c r="N131" s="186"/>
      <c r="Q131" s="186"/>
      <c r="R131" s="186"/>
    </row>
    <row r="132" spans="4:18">
      <c r="D132" s="186"/>
      <c r="E132" s="480"/>
      <c r="F132" s="186"/>
      <c r="G132" s="186"/>
      <c r="H132" s="186"/>
      <c r="I132" s="186"/>
      <c r="J132" s="186"/>
      <c r="L132" s="186"/>
      <c r="M132" s="186"/>
      <c r="N132" s="186"/>
      <c r="Q132" s="186"/>
      <c r="R132" s="186"/>
    </row>
    <row r="133" spans="4:18">
      <c r="D133" s="186"/>
      <c r="E133" s="480"/>
      <c r="F133" s="186"/>
      <c r="G133" s="186"/>
      <c r="H133" s="186"/>
      <c r="I133" s="186"/>
      <c r="J133" s="186"/>
      <c r="L133" s="186"/>
      <c r="M133" s="186"/>
      <c r="N133" s="186"/>
      <c r="Q133" s="186"/>
      <c r="R133" s="186"/>
    </row>
    <row r="134" spans="4:18">
      <c r="D134" s="186"/>
      <c r="E134" s="480"/>
      <c r="F134" s="186"/>
      <c r="G134" s="186"/>
      <c r="H134" s="186"/>
      <c r="I134" s="186"/>
      <c r="J134" s="186"/>
      <c r="L134" s="186"/>
      <c r="M134" s="186"/>
      <c r="N134" s="186"/>
      <c r="Q134" s="186"/>
      <c r="R134" s="186"/>
    </row>
    <row r="135" spans="4:18">
      <c r="D135" s="186"/>
      <c r="E135" s="480"/>
      <c r="F135" s="186"/>
      <c r="G135" s="186"/>
      <c r="H135" s="186"/>
      <c r="I135" s="186"/>
      <c r="J135" s="186"/>
      <c r="L135" s="186"/>
      <c r="M135" s="186"/>
      <c r="N135" s="186"/>
      <c r="Q135" s="186"/>
      <c r="R135" s="186"/>
    </row>
    <row r="136" spans="4:18">
      <c r="D136" s="186"/>
      <c r="E136" s="480"/>
      <c r="F136" s="186"/>
      <c r="G136" s="186"/>
      <c r="H136" s="186"/>
      <c r="I136" s="186"/>
      <c r="J136" s="186"/>
      <c r="L136" s="186"/>
      <c r="M136" s="186"/>
      <c r="N136" s="186"/>
      <c r="Q136" s="186"/>
      <c r="R136" s="186"/>
    </row>
    <row r="137" spans="4:18">
      <c r="D137" s="186"/>
      <c r="E137" s="480"/>
      <c r="F137" s="186"/>
      <c r="G137" s="186"/>
      <c r="H137" s="186"/>
      <c r="I137" s="186"/>
      <c r="J137" s="186"/>
      <c r="L137" s="186"/>
      <c r="M137" s="186"/>
      <c r="N137" s="186"/>
      <c r="Q137" s="186"/>
      <c r="R137" s="186"/>
    </row>
    <row r="138" spans="4:18">
      <c r="D138" s="186"/>
      <c r="E138" s="480"/>
      <c r="F138" s="186"/>
      <c r="G138" s="186"/>
      <c r="H138" s="186"/>
      <c r="I138" s="186"/>
      <c r="J138" s="186"/>
      <c r="L138" s="186"/>
      <c r="M138" s="186"/>
      <c r="N138" s="186"/>
      <c r="Q138" s="186"/>
      <c r="R138" s="186"/>
    </row>
    <row r="139" spans="4:18">
      <c r="D139" s="186"/>
      <c r="E139" s="480"/>
      <c r="F139" s="186"/>
      <c r="G139" s="186"/>
      <c r="H139" s="186"/>
      <c r="I139" s="186"/>
      <c r="J139" s="186"/>
      <c r="L139" s="186"/>
      <c r="M139" s="186"/>
      <c r="N139" s="186"/>
      <c r="Q139" s="186"/>
      <c r="R139" s="186"/>
    </row>
    <row r="140" spans="4:18">
      <c r="D140" s="186"/>
      <c r="E140" s="480"/>
      <c r="F140" s="186"/>
      <c r="G140" s="186"/>
      <c r="H140" s="186"/>
      <c r="I140" s="186"/>
      <c r="J140" s="186"/>
      <c r="L140" s="186"/>
      <c r="M140" s="186"/>
      <c r="N140" s="186"/>
      <c r="Q140" s="186"/>
      <c r="R140" s="186"/>
    </row>
    <row r="141" spans="4:18">
      <c r="D141" s="186"/>
      <c r="E141" s="480"/>
      <c r="F141" s="186"/>
      <c r="G141" s="186"/>
      <c r="H141" s="186"/>
      <c r="I141" s="186"/>
      <c r="J141" s="186"/>
      <c r="L141" s="186"/>
      <c r="M141" s="186"/>
      <c r="N141" s="186"/>
      <c r="Q141" s="186"/>
      <c r="R141" s="186"/>
    </row>
    <row r="142" spans="4:18">
      <c r="D142" s="186"/>
      <c r="E142" s="480"/>
      <c r="F142" s="186"/>
      <c r="G142" s="186"/>
      <c r="H142" s="186"/>
      <c r="I142" s="186"/>
      <c r="J142" s="186"/>
      <c r="L142" s="186"/>
      <c r="M142" s="186"/>
      <c r="N142" s="186"/>
      <c r="Q142" s="186"/>
      <c r="R142" s="186"/>
    </row>
    <row r="143" spans="4:18">
      <c r="D143" s="186"/>
      <c r="E143" s="480"/>
      <c r="F143" s="186"/>
      <c r="G143" s="186"/>
      <c r="H143" s="186"/>
      <c r="I143" s="186"/>
      <c r="J143" s="186"/>
      <c r="L143" s="186"/>
      <c r="M143" s="186"/>
      <c r="N143" s="186"/>
      <c r="Q143" s="186"/>
      <c r="R143" s="186"/>
    </row>
    <row r="144" spans="4:18">
      <c r="D144" s="186"/>
      <c r="E144" s="480"/>
      <c r="F144" s="186"/>
      <c r="G144" s="186"/>
      <c r="H144" s="186"/>
      <c r="I144" s="186"/>
      <c r="J144" s="186"/>
      <c r="L144" s="186"/>
      <c r="M144" s="186"/>
      <c r="N144" s="186"/>
      <c r="Q144" s="186"/>
      <c r="R144" s="186"/>
    </row>
    <row r="145" spans="4:18">
      <c r="D145" s="186"/>
      <c r="E145" s="480"/>
      <c r="F145" s="186"/>
      <c r="G145" s="186"/>
      <c r="H145" s="186"/>
      <c r="I145" s="186"/>
      <c r="J145" s="186"/>
      <c r="L145" s="186"/>
      <c r="M145" s="186"/>
      <c r="N145" s="186"/>
      <c r="Q145" s="186"/>
      <c r="R145" s="186"/>
    </row>
    <row r="146" spans="4:18">
      <c r="D146" s="186"/>
      <c r="E146" s="480"/>
      <c r="F146" s="186"/>
      <c r="G146" s="186"/>
      <c r="H146" s="186"/>
      <c r="I146" s="186"/>
      <c r="J146" s="186"/>
      <c r="L146" s="186"/>
      <c r="M146" s="186"/>
      <c r="N146" s="186"/>
      <c r="Q146" s="186"/>
      <c r="R146" s="186"/>
    </row>
    <row r="147" spans="4:18">
      <c r="D147" s="186"/>
      <c r="E147" s="480"/>
      <c r="F147" s="186"/>
      <c r="G147" s="186"/>
      <c r="H147" s="186"/>
      <c r="I147" s="186"/>
      <c r="J147" s="186"/>
      <c r="L147" s="186"/>
      <c r="M147" s="186"/>
      <c r="N147" s="186"/>
      <c r="Q147" s="186"/>
      <c r="R147" s="186"/>
    </row>
    <row r="148" spans="4:18">
      <c r="D148" s="186"/>
      <c r="E148" s="480"/>
      <c r="F148" s="186"/>
      <c r="G148" s="186"/>
      <c r="H148" s="186"/>
      <c r="I148" s="186"/>
      <c r="J148" s="186"/>
      <c r="L148" s="186"/>
      <c r="M148" s="186"/>
      <c r="N148" s="186"/>
      <c r="Q148" s="186"/>
      <c r="R148" s="186"/>
    </row>
    <row r="149" spans="4:18">
      <c r="D149" s="186"/>
      <c r="E149" s="480"/>
      <c r="F149" s="186"/>
      <c r="G149" s="186"/>
      <c r="H149" s="186"/>
      <c r="I149" s="186"/>
      <c r="J149" s="186"/>
      <c r="L149" s="186"/>
      <c r="M149" s="186"/>
      <c r="N149" s="186"/>
      <c r="Q149" s="186"/>
      <c r="R149" s="186"/>
    </row>
    <row r="150" spans="4:18">
      <c r="D150" s="186"/>
      <c r="E150" s="480"/>
      <c r="F150" s="186"/>
      <c r="G150" s="186"/>
      <c r="H150" s="186"/>
      <c r="I150" s="186"/>
      <c r="J150" s="186"/>
      <c r="L150" s="186"/>
      <c r="M150" s="186"/>
      <c r="N150" s="186"/>
      <c r="Q150" s="186"/>
      <c r="R150" s="186"/>
    </row>
    <row r="151" spans="4:18">
      <c r="D151" s="186"/>
      <c r="E151" s="480"/>
      <c r="F151" s="186"/>
      <c r="G151" s="186"/>
      <c r="H151" s="186"/>
      <c r="I151" s="186"/>
      <c r="J151" s="186"/>
      <c r="L151" s="186"/>
      <c r="M151" s="186"/>
      <c r="N151" s="186"/>
      <c r="Q151" s="186"/>
      <c r="R151" s="186"/>
    </row>
    <row r="152" spans="4:18">
      <c r="D152" s="186"/>
      <c r="E152" s="480"/>
      <c r="F152" s="186"/>
      <c r="G152" s="186"/>
      <c r="H152" s="186"/>
      <c r="I152" s="186"/>
      <c r="J152" s="186"/>
      <c r="L152" s="186"/>
      <c r="M152" s="186"/>
      <c r="N152" s="186"/>
      <c r="Q152" s="186"/>
      <c r="R152" s="186"/>
    </row>
    <row r="153" spans="4:18">
      <c r="D153" s="186"/>
      <c r="E153" s="480"/>
      <c r="F153" s="186"/>
      <c r="G153" s="186"/>
      <c r="H153" s="186"/>
      <c r="I153" s="186"/>
      <c r="J153" s="186"/>
      <c r="L153" s="186"/>
      <c r="M153" s="186"/>
      <c r="N153" s="186"/>
      <c r="Q153" s="186"/>
      <c r="R153" s="186"/>
    </row>
    <row r="154" spans="4:18">
      <c r="D154" s="186"/>
      <c r="E154" s="480"/>
      <c r="F154" s="186"/>
      <c r="G154" s="186"/>
      <c r="H154" s="186"/>
      <c r="I154" s="186"/>
      <c r="J154" s="186"/>
      <c r="L154" s="186"/>
      <c r="M154" s="186"/>
      <c r="N154" s="186"/>
      <c r="Q154" s="186"/>
      <c r="R154" s="186"/>
    </row>
    <row r="155" spans="4:18">
      <c r="D155" s="186"/>
      <c r="E155" s="480"/>
      <c r="F155" s="186"/>
      <c r="G155" s="186"/>
      <c r="H155" s="186"/>
      <c r="I155" s="186"/>
      <c r="J155" s="186"/>
      <c r="L155" s="186"/>
      <c r="M155" s="186"/>
      <c r="N155" s="186"/>
      <c r="Q155" s="186"/>
      <c r="R155" s="186"/>
    </row>
    <row r="156" spans="4:18">
      <c r="D156" s="186"/>
      <c r="E156" s="480"/>
      <c r="F156" s="186"/>
      <c r="G156" s="186"/>
      <c r="H156" s="186"/>
      <c r="I156" s="186"/>
      <c r="J156" s="186"/>
      <c r="L156" s="186"/>
      <c r="M156" s="186"/>
      <c r="N156" s="186"/>
      <c r="Q156" s="186"/>
      <c r="R156" s="186"/>
    </row>
    <row r="157" spans="4:18">
      <c r="D157" s="186"/>
      <c r="E157" s="480"/>
      <c r="F157" s="186"/>
      <c r="G157" s="186"/>
      <c r="H157" s="186"/>
      <c r="I157" s="186"/>
      <c r="J157" s="186"/>
      <c r="L157" s="186"/>
      <c r="M157" s="186"/>
      <c r="N157" s="186"/>
      <c r="Q157" s="186"/>
      <c r="R157" s="186"/>
    </row>
    <row r="158" spans="4:18">
      <c r="D158" s="186"/>
      <c r="E158" s="480"/>
      <c r="F158" s="186"/>
      <c r="G158" s="186"/>
      <c r="H158" s="186"/>
      <c r="I158" s="186"/>
      <c r="J158" s="186"/>
      <c r="L158" s="186"/>
      <c r="M158" s="186"/>
      <c r="N158" s="186"/>
      <c r="Q158" s="186"/>
      <c r="R158" s="186"/>
    </row>
    <row r="159" spans="4:18">
      <c r="D159" s="186"/>
      <c r="E159" s="480"/>
      <c r="F159" s="186"/>
      <c r="G159" s="186"/>
      <c r="H159" s="186"/>
      <c r="I159" s="186"/>
      <c r="J159" s="186"/>
      <c r="L159" s="186"/>
      <c r="M159" s="186"/>
      <c r="N159" s="186"/>
      <c r="Q159" s="186"/>
      <c r="R159" s="186"/>
    </row>
    <row r="160" spans="4:18">
      <c r="D160" s="186"/>
      <c r="E160" s="480"/>
      <c r="F160" s="186"/>
      <c r="G160" s="186"/>
      <c r="H160" s="186"/>
      <c r="I160" s="186"/>
      <c r="J160" s="186"/>
      <c r="L160" s="186"/>
      <c r="M160" s="186"/>
      <c r="N160" s="186"/>
      <c r="Q160" s="186"/>
      <c r="R160" s="186"/>
    </row>
    <row r="161" spans="4:18">
      <c r="D161" s="186"/>
      <c r="E161" s="480"/>
      <c r="F161" s="186"/>
      <c r="G161" s="186"/>
      <c r="H161" s="186"/>
      <c r="I161" s="186"/>
      <c r="J161" s="186"/>
      <c r="L161" s="186"/>
      <c r="M161" s="186"/>
      <c r="N161" s="186"/>
      <c r="Q161" s="186"/>
      <c r="R161" s="186"/>
    </row>
    <row r="162" spans="4:18">
      <c r="D162" s="186"/>
      <c r="E162" s="480"/>
      <c r="F162" s="186"/>
      <c r="G162" s="186"/>
      <c r="H162" s="186"/>
      <c r="I162" s="186"/>
      <c r="J162" s="186"/>
      <c r="L162" s="186"/>
      <c r="M162" s="186"/>
      <c r="N162" s="186"/>
      <c r="Q162" s="186"/>
      <c r="R162" s="186"/>
    </row>
    <row r="163" spans="4:18">
      <c r="D163" s="186"/>
      <c r="E163" s="480"/>
      <c r="F163" s="186"/>
      <c r="G163" s="186"/>
      <c r="H163" s="186"/>
      <c r="I163" s="186"/>
      <c r="J163" s="186"/>
      <c r="L163" s="186"/>
      <c r="M163" s="186"/>
      <c r="N163" s="186"/>
      <c r="Q163" s="186"/>
      <c r="R163" s="186"/>
    </row>
    <row r="164" spans="4:18">
      <c r="D164" s="186"/>
      <c r="E164" s="480"/>
      <c r="F164" s="186"/>
      <c r="G164" s="186"/>
      <c r="H164" s="186"/>
      <c r="I164" s="186"/>
      <c r="J164" s="186"/>
      <c r="L164" s="186"/>
      <c r="M164" s="186"/>
      <c r="N164" s="186"/>
      <c r="Q164" s="186"/>
      <c r="R164" s="186"/>
    </row>
    <row r="165" spans="4:18">
      <c r="D165" s="186"/>
      <c r="E165" s="480"/>
      <c r="F165" s="186"/>
      <c r="G165" s="186"/>
      <c r="H165" s="186"/>
      <c r="I165" s="186"/>
      <c r="J165" s="186"/>
      <c r="L165" s="186"/>
      <c r="M165" s="186"/>
      <c r="N165" s="186"/>
      <c r="Q165" s="186"/>
      <c r="R165" s="186"/>
    </row>
    <row r="166" spans="4:18">
      <c r="D166" s="186"/>
      <c r="E166" s="480"/>
      <c r="F166" s="186"/>
      <c r="G166" s="186"/>
      <c r="H166" s="186"/>
      <c r="I166" s="186"/>
      <c r="J166" s="186"/>
      <c r="L166" s="186"/>
      <c r="M166" s="186"/>
      <c r="N166" s="186"/>
      <c r="Q166" s="186"/>
      <c r="R166" s="186"/>
    </row>
    <row r="167" spans="4:18">
      <c r="D167" s="186"/>
      <c r="E167" s="480"/>
      <c r="F167" s="186"/>
      <c r="G167" s="186"/>
      <c r="H167" s="186"/>
      <c r="I167" s="186"/>
      <c r="J167" s="186"/>
      <c r="L167" s="186"/>
      <c r="M167" s="186"/>
      <c r="N167" s="186"/>
      <c r="Q167" s="186"/>
      <c r="R167" s="186"/>
    </row>
    <row r="168" spans="4:18">
      <c r="D168" s="186"/>
      <c r="E168" s="480"/>
      <c r="F168" s="186"/>
      <c r="G168" s="186"/>
      <c r="H168" s="186"/>
      <c r="I168" s="186"/>
      <c r="J168" s="186"/>
      <c r="L168" s="186"/>
      <c r="M168" s="186"/>
      <c r="N168" s="186"/>
      <c r="Q168" s="186"/>
      <c r="R168" s="186"/>
    </row>
    <row r="169" spans="4:18">
      <c r="D169" s="186"/>
      <c r="E169" s="480"/>
      <c r="F169" s="186"/>
      <c r="G169" s="186"/>
      <c r="H169" s="186"/>
      <c r="I169" s="186"/>
      <c r="J169" s="186"/>
      <c r="L169" s="186"/>
      <c r="M169" s="186"/>
      <c r="N169" s="186"/>
      <c r="Q169" s="186"/>
      <c r="R169" s="186"/>
    </row>
    <row r="170" spans="4:18">
      <c r="D170" s="186"/>
      <c r="E170" s="480"/>
      <c r="F170" s="186"/>
      <c r="G170" s="186"/>
      <c r="H170" s="186"/>
      <c r="I170" s="186"/>
      <c r="J170" s="186"/>
      <c r="L170" s="186"/>
      <c r="M170" s="186"/>
      <c r="N170" s="186"/>
      <c r="Q170" s="186"/>
      <c r="R170" s="186"/>
    </row>
    <row r="171" spans="4:18">
      <c r="D171" s="186"/>
      <c r="E171" s="480"/>
      <c r="F171" s="186"/>
      <c r="G171" s="186"/>
      <c r="H171" s="186"/>
      <c r="I171" s="186"/>
      <c r="J171" s="186"/>
      <c r="L171" s="186"/>
      <c r="M171" s="186"/>
      <c r="N171" s="186"/>
      <c r="Q171" s="186"/>
      <c r="R171" s="186"/>
    </row>
    <row r="172" spans="4:18">
      <c r="D172" s="186"/>
      <c r="E172" s="480"/>
      <c r="F172" s="186"/>
      <c r="G172" s="186"/>
      <c r="H172" s="186"/>
      <c r="I172" s="186"/>
      <c r="J172" s="186"/>
      <c r="L172" s="186"/>
      <c r="M172" s="186"/>
      <c r="N172" s="186"/>
      <c r="Q172" s="186"/>
      <c r="R172" s="186"/>
    </row>
    <row r="173" spans="4:18">
      <c r="D173" s="186"/>
      <c r="E173" s="480"/>
      <c r="F173" s="186"/>
      <c r="G173" s="186"/>
      <c r="H173" s="186"/>
      <c r="I173" s="186"/>
      <c r="J173" s="186"/>
      <c r="L173" s="186"/>
      <c r="M173" s="186"/>
      <c r="N173" s="186"/>
      <c r="Q173" s="186"/>
      <c r="R173" s="186"/>
    </row>
    <row r="174" spans="4:18">
      <c r="D174" s="186"/>
      <c r="E174" s="480"/>
      <c r="F174" s="186"/>
      <c r="G174" s="186"/>
      <c r="H174" s="186"/>
      <c r="I174" s="186"/>
      <c r="J174" s="186"/>
      <c r="L174" s="186"/>
      <c r="M174" s="186"/>
      <c r="N174" s="186"/>
      <c r="Q174" s="186"/>
      <c r="R174" s="186"/>
    </row>
    <row r="175" spans="4:18">
      <c r="D175" s="186"/>
      <c r="E175" s="480"/>
      <c r="F175" s="186"/>
      <c r="G175" s="186"/>
      <c r="H175" s="186"/>
      <c r="I175" s="186"/>
      <c r="J175" s="186"/>
      <c r="L175" s="186"/>
      <c r="M175" s="186"/>
      <c r="N175" s="186"/>
      <c r="Q175" s="186"/>
      <c r="R175" s="186"/>
    </row>
    <row r="176" spans="4:18">
      <c r="D176" s="186"/>
      <c r="E176" s="480"/>
      <c r="F176" s="186"/>
      <c r="G176" s="186"/>
      <c r="H176" s="186"/>
      <c r="I176" s="186"/>
      <c r="J176" s="186"/>
      <c r="L176" s="186"/>
      <c r="M176" s="186"/>
      <c r="N176" s="186"/>
      <c r="Q176" s="186"/>
      <c r="R176" s="186"/>
    </row>
    <row r="177" spans="4:18">
      <c r="D177" s="186"/>
      <c r="E177" s="480"/>
      <c r="F177" s="186"/>
      <c r="G177" s="186"/>
      <c r="H177" s="186"/>
      <c r="I177" s="186"/>
      <c r="J177" s="186"/>
      <c r="L177" s="186"/>
      <c r="M177" s="186"/>
      <c r="N177" s="186"/>
      <c r="Q177" s="186"/>
      <c r="R177" s="186"/>
    </row>
    <row r="178" spans="4:18">
      <c r="D178" s="186"/>
      <c r="E178" s="480"/>
      <c r="F178" s="186"/>
      <c r="G178" s="186"/>
      <c r="H178" s="186"/>
      <c r="I178" s="186"/>
      <c r="J178" s="186"/>
      <c r="L178" s="186"/>
      <c r="M178" s="186"/>
      <c r="N178" s="186"/>
      <c r="Q178" s="186"/>
      <c r="R178" s="186"/>
    </row>
    <row r="179" spans="4:18">
      <c r="D179" s="186"/>
      <c r="E179" s="480"/>
      <c r="F179" s="186"/>
      <c r="G179" s="186"/>
      <c r="H179" s="186"/>
      <c r="I179" s="186"/>
      <c r="J179" s="186"/>
      <c r="L179" s="186"/>
      <c r="M179" s="186"/>
      <c r="N179" s="186"/>
      <c r="Q179" s="186"/>
      <c r="R179" s="186"/>
    </row>
    <row r="180" spans="4:18">
      <c r="D180" s="186"/>
      <c r="E180" s="480"/>
      <c r="F180" s="186"/>
      <c r="G180" s="186"/>
      <c r="H180" s="186"/>
      <c r="I180" s="186"/>
      <c r="J180" s="186"/>
      <c r="L180" s="186"/>
      <c r="M180" s="186"/>
      <c r="N180" s="186"/>
      <c r="Q180" s="186"/>
      <c r="R180" s="186"/>
    </row>
    <row r="181" spans="4:18">
      <c r="D181" s="186"/>
      <c r="E181" s="480"/>
      <c r="F181" s="186"/>
      <c r="G181" s="186"/>
      <c r="H181" s="186"/>
      <c r="I181" s="186"/>
      <c r="J181" s="186"/>
      <c r="L181" s="186"/>
      <c r="M181" s="186"/>
      <c r="N181" s="186"/>
      <c r="Q181" s="186"/>
      <c r="R181" s="186"/>
    </row>
    <row r="182" spans="4:18">
      <c r="D182" s="186"/>
      <c r="E182" s="480"/>
      <c r="F182" s="186"/>
      <c r="G182" s="186"/>
      <c r="H182" s="186"/>
      <c r="I182" s="186"/>
      <c r="J182" s="186"/>
      <c r="L182" s="186"/>
      <c r="M182" s="186"/>
      <c r="N182" s="186"/>
      <c r="Q182" s="186"/>
      <c r="R182" s="186"/>
    </row>
    <row r="183" spans="4:18">
      <c r="D183" s="186"/>
      <c r="E183" s="480"/>
      <c r="F183" s="186"/>
      <c r="G183" s="186"/>
      <c r="H183" s="186"/>
      <c r="I183" s="186"/>
      <c r="J183" s="186"/>
      <c r="L183" s="186"/>
      <c r="M183" s="186"/>
      <c r="N183" s="186"/>
      <c r="Q183" s="186"/>
      <c r="R183" s="186"/>
    </row>
    <row r="184" spans="4:18">
      <c r="D184" s="186"/>
      <c r="E184" s="480"/>
      <c r="F184" s="186"/>
      <c r="G184" s="186"/>
      <c r="H184" s="186"/>
      <c r="I184" s="186"/>
      <c r="J184" s="186"/>
      <c r="L184" s="186"/>
      <c r="M184" s="186"/>
      <c r="N184" s="186"/>
      <c r="Q184" s="186"/>
      <c r="R184" s="186"/>
    </row>
    <row r="185" spans="4:18">
      <c r="D185" s="186"/>
      <c r="E185" s="480"/>
      <c r="F185" s="186"/>
      <c r="G185" s="186"/>
      <c r="H185" s="186"/>
      <c r="I185" s="186"/>
      <c r="J185" s="186"/>
      <c r="L185" s="186"/>
      <c r="M185" s="186"/>
      <c r="N185" s="186"/>
      <c r="Q185" s="186"/>
      <c r="R185" s="186"/>
    </row>
    <row r="186" spans="4:18">
      <c r="D186" s="186"/>
      <c r="E186" s="480"/>
      <c r="F186" s="186"/>
      <c r="G186" s="186"/>
      <c r="H186" s="186"/>
      <c r="I186" s="186"/>
      <c r="J186" s="186"/>
      <c r="L186" s="186"/>
      <c r="M186" s="186"/>
      <c r="N186" s="186"/>
      <c r="Q186" s="186"/>
      <c r="R186" s="186"/>
    </row>
    <row r="187" spans="4:18">
      <c r="D187" s="186"/>
      <c r="E187" s="480"/>
      <c r="F187" s="186"/>
      <c r="G187" s="186"/>
      <c r="H187" s="186"/>
      <c r="I187" s="186"/>
      <c r="J187" s="186"/>
      <c r="L187" s="186"/>
      <c r="M187" s="186"/>
      <c r="N187" s="186"/>
      <c r="Q187" s="186"/>
      <c r="R187" s="186"/>
    </row>
    <row r="188" spans="4:18">
      <c r="D188" s="186"/>
      <c r="E188" s="480"/>
      <c r="F188" s="186"/>
      <c r="G188" s="186"/>
      <c r="H188" s="186"/>
      <c r="I188" s="186"/>
      <c r="J188" s="186"/>
      <c r="L188" s="186"/>
      <c r="M188" s="186"/>
      <c r="N188" s="186"/>
      <c r="Q188" s="186"/>
      <c r="R188" s="186"/>
    </row>
    <row r="189" spans="4:18">
      <c r="D189" s="186"/>
      <c r="E189" s="480"/>
      <c r="F189" s="186"/>
      <c r="G189" s="186"/>
      <c r="H189" s="186"/>
      <c r="I189" s="186"/>
      <c r="J189" s="186"/>
      <c r="L189" s="186"/>
      <c r="M189" s="186"/>
      <c r="N189" s="186"/>
      <c r="Q189" s="186"/>
      <c r="R189" s="186"/>
    </row>
    <row r="190" spans="4:18">
      <c r="D190" s="186"/>
      <c r="E190" s="480"/>
      <c r="F190" s="186"/>
      <c r="G190" s="186"/>
      <c r="H190" s="186"/>
      <c r="I190" s="186"/>
      <c r="J190" s="186"/>
      <c r="L190" s="186"/>
      <c r="M190" s="186"/>
      <c r="N190" s="186"/>
      <c r="Q190" s="186"/>
      <c r="R190" s="186"/>
    </row>
    <row r="191" spans="4:18">
      <c r="D191" s="186"/>
      <c r="E191" s="480"/>
      <c r="F191" s="186"/>
      <c r="G191" s="186"/>
      <c r="H191" s="186"/>
      <c r="I191" s="186"/>
      <c r="J191" s="186"/>
      <c r="L191" s="186"/>
      <c r="M191" s="186"/>
      <c r="N191" s="186"/>
      <c r="Q191" s="186"/>
      <c r="R191" s="186"/>
    </row>
    <row r="192" spans="4:18">
      <c r="D192" s="186"/>
      <c r="E192" s="480"/>
      <c r="F192" s="186"/>
      <c r="G192" s="186"/>
      <c r="H192" s="186"/>
      <c r="I192" s="186"/>
      <c r="J192" s="186"/>
      <c r="L192" s="186"/>
      <c r="M192" s="186"/>
      <c r="N192" s="186"/>
      <c r="Q192" s="186"/>
      <c r="R192" s="186"/>
    </row>
    <row r="193" spans="4:18">
      <c r="D193" s="186"/>
      <c r="E193" s="480"/>
      <c r="F193" s="186"/>
      <c r="G193" s="186"/>
      <c r="H193" s="186"/>
      <c r="I193" s="186"/>
      <c r="J193" s="186"/>
      <c r="L193" s="186"/>
      <c r="M193" s="186"/>
      <c r="N193" s="186"/>
      <c r="Q193" s="186"/>
      <c r="R193" s="186"/>
    </row>
    <row r="194" spans="4:18">
      <c r="D194" s="186"/>
      <c r="E194" s="480"/>
      <c r="F194" s="186"/>
      <c r="G194" s="186"/>
      <c r="H194" s="186"/>
      <c r="I194" s="186"/>
      <c r="J194" s="186"/>
      <c r="L194" s="186"/>
      <c r="M194" s="186"/>
      <c r="N194" s="186"/>
      <c r="Q194" s="186"/>
      <c r="R194" s="186"/>
    </row>
    <row r="195" spans="4:18">
      <c r="D195" s="186"/>
      <c r="E195" s="480"/>
      <c r="F195" s="186"/>
      <c r="G195" s="186"/>
      <c r="H195" s="186"/>
      <c r="I195" s="186"/>
      <c r="J195" s="186"/>
      <c r="L195" s="186"/>
      <c r="M195" s="186"/>
      <c r="N195" s="186"/>
      <c r="Q195" s="186"/>
      <c r="R195" s="186"/>
    </row>
    <row r="196" spans="4:18">
      <c r="D196" s="186"/>
      <c r="E196" s="480"/>
      <c r="F196" s="186"/>
      <c r="G196" s="186"/>
      <c r="H196" s="186"/>
      <c r="I196" s="186"/>
      <c r="J196" s="186"/>
      <c r="L196" s="186"/>
      <c r="M196" s="186"/>
      <c r="N196" s="186"/>
      <c r="Q196" s="186"/>
      <c r="R196" s="186"/>
    </row>
    <row r="197" spans="4:18">
      <c r="D197" s="186"/>
      <c r="E197" s="480"/>
      <c r="F197" s="186"/>
      <c r="G197" s="186"/>
      <c r="H197" s="186"/>
      <c r="I197" s="186"/>
      <c r="J197" s="186"/>
      <c r="L197" s="186"/>
      <c r="M197" s="186"/>
      <c r="N197" s="186"/>
      <c r="Q197" s="186"/>
      <c r="R197" s="186"/>
    </row>
    <row r="198" spans="4:18">
      <c r="D198" s="186"/>
      <c r="E198" s="480"/>
      <c r="F198" s="186"/>
      <c r="G198" s="186"/>
      <c r="H198" s="186"/>
      <c r="I198" s="186"/>
      <c r="J198" s="186"/>
      <c r="L198" s="186"/>
      <c r="M198" s="186"/>
      <c r="N198" s="186"/>
      <c r="Q198" s="186"/>
      <c r="R198" s="186"/>
    </row>
    <row r="199" spans="4:18">
      <c r="D199" s="186"/>
      <c r="E199" s="480"/>
      <c r="F199" s="186"/>
      <c r="G199" s="186"/>
      <c r="H199" s="186"/>
      <c r="I199" s="186"/>
      <c r="J199" s="186"/>
      <c r="L199" s="186"/>
      <c r="M199" s="186"/>
      <c r="N199" s="186"/>
      <c r="Q199" s="186"/>
      <c r="R199" s="186"/>
    </row>
    <row r="200" spans="4:18">
      <c r="D200" s="186"/>
      <c r="E200" s="480"/>
      <c r="F200" s="186"/>
      <c r="G200" s="186"/>
      <c r="H200" s="186"/>
      <c r="I200" s="186"/>
      <c r="J200" s="186"/>
      <c r="L200" s="186"/>
      <c r="M200" s="186"/>
      <c r="N200" s="186"/>
      <c r="Q200" s="186"/>
      <c r="R200" s="186"/>
    </row>
    <row r="201" spans="4:18">
      <c r="D201" s="186"/>
      <c r="E201" s="480"/>
      <c r="F201" s="186"/>
      <c r="G201" s="186"/>
      <c r="H201" s="186"/>
      <c r="I201" s="186"/>
      <c r="J201" s="186"/>
      <c r="L201" s="186"/>
      <c r="M201" s="186"/>
      <c r="N201" s="186"/>
      <c r="Q201" s="186"/>
      <c r="R201" s="186"/>
    </row>
    <row r="202" spans="4:18">
      <c r="D202" s="186"/>
      <c r="E202" s="480"/>
      <c r="F202" s="186"/>
      <c r="G202" s="186"/>
      <c r="H202" s="186"/>
      <c r="I202" s="186"/>
      <c r="J202" s="186"/>
      <c r="L202" s="186"/>
      <c r="M202" s="186"/>
      <c r="N202" s="186"/>
      <c r="Q202" s="186"/>
      <c r="R202" s="186"/>
    </row>
    <row r="203" spans="4:18">
      <c r="D203" s="186"/>
      <c r="E203" s="480"/>
      <c r="F203" s="186"/>
      <c r="G203" s="186"/>
      <c r="H203" s="186"/>
      <c r="I203" s="186"/>
      <c r="J203" s="186"/>
      <c r="L203" s="186"/>
      <c r="M203" s="186"/>
      <c r="N203" s="186"/>
      <c r="Q203" s="186"/>
      <c r="R203" s="186"/>
    </row>
    <row r="204" spans="4:18">
      <c r="D204" s="186"/>
      <c r="E204" s="480"/>
      <c r="F204" s="186"/>
      <c r="G204" s="186"/>
      <c r="H204" s="186"/>
      <c r="I204" s="186"/>
      <c r="J204" s="186"/>
      <c r="L204" s="186"/>
      <c r="M204" s="186"/>
      <c r="N204" s="186"/>
      <c r="Q204" s="186"/>
      <c r="R204" s="186"/>
    </row>
    <row r="205" spans="4:18">
      <c r="D205" s="186"/>
      <c r="E205" s="480"/>
      <c r="F205" s="186"/>
      <c r="G205" s="186"/>
      <c r="H205" s="186"/>
      <c r="I205" s="186"/>
      <c r="J205" s="186"/>
      <c r="L205" s="186"/>
      <c r="M205" s="186"/>
      <c r="N205" s="186"/>
      <c r="Q205" s="186"/>
      <c r="R205" s="186"/>
    </row>
    <row r="206" spans="4:18">
      <c r="D206" s="186"/>
      <c r="E206" s="480"/>
      <c r="F206" s="186"/>
      <c r="G206" s="186"/>
      <c r="H206" s="186"/>
      <c r="I206" s="186"/>
      <c r="J206" s="186"/>
      <c r="L206" s="186"/>
      <c r="M206" s="186"/>
      <c r="N206" s="186"/>
      <c r="Q206" s="186"/>
      <c r="R206" s="186"/>
    </row>
    <row r="207" spans="4:18">
      <c r="D207" s="186"/>
      <c r="E207" s="480"/>
      <c r="F207" s="186"/>
      <c r="G207" s="186"/>
      <c r="H207" s="186"/>
      <c r="I207" s="186"/>
      <c r="J207" s="186"/>
      <c r="L207" s="186"/>
      <c r="M207" s="186"/>
      <c r="N207" s="186"/>
      <c r="Q207" s="186"/>
      <c r="R207" s="186"/>
    </row>
    <row r="208" spans="4:18">
      <c r="D208" s="186"/>
      <c r="E208" s="480"/>
      <c r="F208" s="186"/>
      <c r="G208" s="186"/>
      <c r="H208" s="186"/>
      <c r="I208" s="186"/>
      <c r="J208" s="186"/>
      <c r="L208" s="186"/>
      <c r="M208" s="186"/>
      <c r="N208" s="186"/>
      <c r="Q208" s="186"/>
      <c r="R208" s="186"/>
    </row>
    <row r="209" spans="4:18">
      <c r="D209" s="186"/>
      <c r="E209" s="480"/>
      <c r="F209" s="186"/>
      <c r="G209" s="186"/>
      <c r="H209" s="186"/>
      <c r="I209" s="186"/>
      <c r="J209" s="186"/>
      <c r="L209" s="186"/>
      <c r="M209" s="186"/>
      <c r="N209" s="186"/>
      <c r="Q209" s="186"/>
      <c r="R209" s="186"/>
    </row>
    <row r="210" spans="4:18">
      <c r="D210" s="186"/>
      <c r="E210" s="480"/>
      <c r="F210" s="186"/>
      <c r="G210" s="186"/>
      <c r="H210" s="186"/>
      <c r="I210" s="186"/>
      <c r="J210" s="186"/>
      <c r="L210" s="186"/>
      <c r="M210" s="186"/>
      <c r="N210" s="186"/>
      <c r="Q210" s="186"/>
      <c r="R210" s="186"/>
    </row>
    <row r="211" spans="4:18">
      <c r="D211" s="186"/>
      <c r="E211" s="480"/>
      <c r="F211" s="186"/>
      <c r="G211" s="186"/>
      <c r="H211" s="186"/>
      <c r="I211" s="186"/>
      <c r="J211" s="186"/>
      <c r="L211" s="186"/>
      <c r="M211" s="186"/>
      <c r="N211" s="186"/>
      <c r="Q211" s="186"/>
      <c r="R211" s="186"/>
    </row>
    <row r="212" spans="4:18">
      <c r="D212" s="186"/>
      <c r="E212" s="480"/>
      <c r="F212" s="186"/>
      <c r="G212" s="186"/>
      <c r="H212" s="186"/>
      <c r="I212" s="186"/>
      <c r="J212" s="186"/>
      <c r="L212" s="186"/>
      <c r="M212" s="186"/>
      <c r="N212" s="186"/>
      <c r="Q212" s="186"/>
      <c r="R212" s="186"/>
    </row>
    <row r="213" spans="4:18">
      <c r="D213" s="186"/>
      <c r="E213" s="480"/>
      <c r="F213" s="186"/>
      <c r="G213" s="186"/>
      <c r="H213" s="186"/>
      <c r="I213" s="186"/>
      <c r="J213" s="186"/>
      <c r="L213" s="186"/>
      <c r="M213" s="186"/>
      <c r="N213" s="186"/>
      <c r="Q213" s="186"/>
      <c r="R213" s="186"/>
    </row>
    <row r="214" spans="4:18">
      <c r="D214" s="186"/>
      <c r="E214" s="480"/>
      <c r="F214" s="186"/>
      <c r="G214" s="186"/>
      <c r="H214" s="186"/>
      <c r="I214" s="186"/>
      <c r="J214" s="186"/>
      <c r="L214" s="186"/>
      <c r="M214" s="186"/>
      <c r="N214" s="186"/>
      <c r="Q214" s="186"/>
      <c r="R214" s="186"/>
    </row>
    <row r="215" spans="4:18">
      <c r="D215" s="186"/>
      <c r="E215" s="480"/>
      <c r="F215" s="186"/>
      <c r="G215" s="186"/>
      <c r="H215" s="186"/>
      <c r="I215" s="186"/>
      <c r="J215" s="186"/>
      <c r="L215" s="186"/>
      <c r="M215" s="186"/>
      <c r="N215" s="186"/>
      <c r="Q215" s="186"/>
      <c r="R215" s="186"/>
    </row>
    <row r="216" spans="4:18">
      <c r="D216" s="186"/>
      <c r="E216" s="480"/>
      <c r="F216" s="186"/>
      <c r="G216" s="186"/>
      <c r="H216" s="186"/>
      <c r="I216" s="186"/>
      <c r="J216" s="186"/>
      <c r="L216" s="186"/>
      <c r="M216" s="186"/>
      <c r="N216" s="186"/>
      <c r="Q216" s="186"/>
      <c r="R216" s="186"/>
    </row>
    <row r="217" spans="4:18">
      <c r="D217" s="186"/>
      <c r="E217" s="480"/>
      <c r="F217" s="186"/>
      <c r="G217" s="186"/>
      <c r="H217" s="186"/>
      <c r="I217" s="186"/>
      <c r="J217" s="186"/>
      <c r="L217" s="186"/>
      <c r="M217" s="186"/>
      <c r="N217" s="186"/>
      <c r="Q217" s="186"/>
      <c r="R217" s="186"/>
    </row>
    <row r="218" spans="4:18">
      <c r="D218" s="186"/>
      <c r="E218" s="480"/>
      <c r="F218" s="186"/>
      <c r="G218" s="186"/>
      <c r="H218" s="186"/>
      <c r="I218" s="186"/>
      <c r="J218" s="186"/>
      <c r="L218" s="186"/>
      <c r="M218" s="186"/>
      <c r="N218" s="186"/>
      <c r="Q218" s="186"/>
      <c r="R218" s="186"/>
    </row>
    <row r="219" spans="4:18">
      <c r="D219" s="186"/>
      <c r="E219" s="480"/>
      <c r="F219" s="186"/>
      <c r="G219" s="186"/>
      <c r="H219" s="186"/>
      <c r="I219" s="186"/>
      <c r="J219" s="186"/>
      <c r="L219" s="186"/>
      <c r="M219" s="186"/>
      <c r="N219" s="186"/>
      <c r="Q219" s="186"/>
      <c r="R219" s="186"/>
    </row>
    <row r="220" spans="4:18">
      <c r="D220" s="186"/>
      <c r="E220" s="480"/>
      <c r="F220" s="186"/>
      <c r="G220" s="186"/>
      <c r="H220" s="186"/>
      <c r="I220" s="186"/>
      <c r="J220" s="186"/>
      <c r="L220" s="186"/>
      <c r="M220" s="186"/>
      <c r="N220" s="186"/>
      <c r="Q220" s="186"/>
      <c r="R220" s="186"/>
    </row>
    <row r="221" spans="4:18">
      <c r="D221" s="186"/>
      <c r="E221" s="480"/>
      <c r="F221" s="186"/>
      <c r="G221" s="186"/>
      <c r="H221" s="186"/>
      <c r="I221" s="186"/>
      <c r="J221" s="186"/>
      <c r="L221" s="186"/>
      <c r="M221" s="186"/>
      <c r="N221" s="186"/>
      <c r="Q221" s="186"/>
      <c r="R221" s="186"/>
    </row>
    <row r="222" spans="4:18">
      <c r="D222" s="186"/>
      <c r="E222" s="480"/>
      <c r="F222" s="186"/>
      <c r="G222" s="186"/>
      <c r="H222" s="186"/>
      <c r="I222" s="186"/>
      <c r="J222" s="186"/>
      <c r="L222" s="186"/>
      <c r="M222" s="186"/>
      <c r="N222" s="186"/>
      <c r="Q222" s="186"/>
      <c r="R222" s="186"/>
    </row>
    <row r="223" spans="4:18">
      <c r="D223" s="186"/>
      <c r="E223" s="480"/>
      <c r="F223" s="186"/>
      <c r="G223" s="186"/>
      <c r="H223" s="186"/>
      <c r="I223" s="186"/>
      <c r="J223" s="186"/>
      <c r="L223" s="186"/>
      <c r="M223" s="186"/>
      <c r="N223" s="186"/>
      <c r="Q223" s="186"/>
      <c r="R223" s="186"/>
    </row>
    <row r="224" spans="4:18">
      <c r="D224" s="186"/>
      <c r="E224" s="480"/>
      <c r="F224" s="186"/>
      <c r="G224" s="186"/>
      <c r="H224" s="186"/>
      <c r="I224" s="186"/>
      <c r="J224" s="186"/>
      <c r="L224" s="186"/>
      <c r="M224" s="186"/>
      <c r="N224" s="186"/>
      <c r="Q224" s="186"/>
      <c r="R224" s="186"/>
    </row>
    <row r="225" spans="4:18">
      <c r="D225" s="186"/>
      <c r="E225" s="480"/>
      <c r="F225" s="186"/>
      <c r="G225" s="186"/>
      <c r="H225" s="186"/>
      <c r="I225" s="186"/>
      <c r="J225" s="186"/>
      <c r="L225" s="186"/>
      <c r="M225" s="186"/>
      <c r="N225" s="186"/>
      <c r="Q225" s="186"/>
      <c r="R225" s="186"/>
    </row>
    <row r="226" spans="4:18">
      <c r="D226" s="186"/>
      <c r="E226" s="480"/>
      <c r="F226" s="186"/>
      <c r="G226" s="186"/>
      <c r="H226" s="186"/>
      <c r="I226" s="186"/>
      <c r="J226" s="186"/>
      <c r="L226" s="186"/>
      <c r="M226" s="186"/>
      <c r="N226" s="186"/>
      <c r="Q226" s="186"/>
      <c r="R226" s="186"/>
    </row>
    <row r="227" spans="4:18">
      <c r="D227" s="186"/>
      <c r="E227" s="480"/>
      <c r="F227" s="186"/>
      <c r="G227" s="186"/>
      <c r="H227" s="186"/>
      <c r="I227" s="186"/>
      <c r="J227" s="186"/>
      <c r="L227" s="186"/>
      <c r="M227" s="186"/>
      <c r="N227" s="186"/>
      <c r="Q227" s="186"/>
      <c r="R227" s="186"/>
    </row>
    <row r="228" spans="4:18">
      <c r="D228" s="186"/>
      <c r="E228" s="480"/>
      <c r="F228" s="186"/>
      <c r="G228" s="186"/>
      <c r="H228" s="186"/>
      <c r="I228" s="186"/>
      <c r="J228" s="186"/>
      <c r="L228" s="186"/>
      <c r="M228" s="186"/>
      <c r="N228" s="186"/>
      <c r="Q228" s="186"/>
      <c r="R228" s="186"/>
    </row>
    <row r="229" spans="4:18">
      <c r="D229" s="186"/>
      <c r="E229" s="480"/>
      <c r="F229" s="186"/>
      <c r="G229" s="186"/>
      <c r="H229" s="186"/>
      <c r="I229" s="186"/>
      <c r="J229" s="186"/>
      <c r="L229" s="186"/>
      <c r="M229" s="186"/>
      <c r="N229" s="186"/>
      <c r="Q229" s="186"/>
      <c r="R229" s="186"/>
    </row>
    <row r="230" spans="4:18">
      <c r="D230" s="186"/>
      <c r="E230" s="480"/>
      <c r="F230" s="186"/>
      <c r="G230" s="186"/>
      <c r="H230" s="186"/>
      <c r="I230" s="186"/>
      <c r="J230" s="186"/>
      <c r="L230" s="186"/>
      <c r="M230" s="186"/>
      <c r="N230" s="186"/>
      <c r="Q230" s="186"/>
      <c r="R230" s="186"/>
    </row>
    <row r="231" spans="4:18">
      <c r="D231" s="186"/>
      <c r="E231" s="480"/>
      <c r="F231" s="186"/>
      <c r="G231" s="186"/>
      <c r="H231" s="186"/>
      <c r="I231" s="186"/>
      <c r="J231" s="186"/>
      <c r="L231" s="186"/>
      <c r="M231" s="186"/>
      <c r="N231" s="186"/>
      <c r="Q231" s="186"/>
      <c r="R231" s="186"/>
    </row>
    <row r="232" spans="4:18">
      <c r="D232" s="186"/>
      <c r="E232" s="480"/>
      <c r="F232" s="186"/>
      <c r="G232" s="186"/>
      <c r="H232" s="186"/>
      <c r="I232" s="186"/>
      <c r="J232" s="186"/>
      <c r="L232" s="186"/>
      <c r="M232" s="186"/>
      <c r="N232" s="186"/>
      <c r="Q232" s="186"/>
      <c r="R232" s="186"/>
    </row>
    <row r="233" spans="4:18">
      <c r="D233" s="186"/>
      <c r="E233" s="480"/>
      <c r="F233" s="186"/>
      <c r="G233" s="186"/>
      <c r="H233" s="186"/>
      <c r="I233" s="186"/>
      <c r="J233" s="186"/>
      <c r="L233" s="186"/>
      <c r="M233" s="186"/>
      <c r="N233" s="186"/>
      <c r="Q233" s="186"/>
      <c r="R233" s="186"/>
    </row>
    <row r="234" spans="4:18">
      <c r="D234" s="186"/>
      <c r="E234" s="480"/>
      <c r="F234" s="186"/>
      <c r="G234" s="186"/>
      <c r="H234" s="186"/>
      <c r="I234" s="186"/>
      <c r="J234" s="186"/>
      <c r="L234" s="186"/>
      <c r="M234" s="186"/>
      <c r="N234" s="186"/>
      <c r="Q234" s="186"/>
      <c r="R234" s="186"/>
    </row>
    <row r="235" spans="4:18">
      <c r="D235" s="186"/>
      <c r="E235" s="480"/>
      <c r="F235" s="186"/>
      <c r="G235" s="186"/>
      <c r="H235" s="186"/>
      <c r="I235" s="186"/>
      <c r="J235" s="186"/>
      <c r="L235" s="186"/>
      <c r="M235" s="186"/>
      <c r="N235" s="186"/>
      <c r="Q235" s="186"/>
      <c r="R235" s="186"/>
    </row>
    <row r="236" spans="4:18">
      <c r="D236" s="186"/>
      <c r="E236" s="480"/>
      <c r="F236" s="186"/>
      <c r="G236" s="186"/>
      <c r="H236" s="186"/>
      <c r="I236" s="186"/>
      <c r="J236" s="186"/>
      <c r="L236" s="186"/>
      <c r="M236" s="186"/>
      <c r="N236" s="186"/>
      <c r="Q236" s="186"/>
      <c r="R236" s="186"/>
    </row>
    <row r="237" spans="4:18">
      <c r="D237" s="186"/>
      <c r="E237" s="480"/>
      <c r="F237" s="186"/>
      <c r="G237" s="186"/>
      <c r="H237" s="186"/>
      <c r="I237" s="186"/>
      <c r="J237" s="186"/>
      <c r="L237" s="186"/>
      <c r="M237" s="186"/>
      <c r="N237" s="186"/>
      <c r="Q237" s="186"/>
      <c r="R237" s="186"/>
    </row>
    <row r="238" spans="4:18">
      <c r="D238" s="186"/>
      <c r="E238" s="480"/>
      <c r="F238" s="186"/>
      <c r="G238" s="186"/>
      <c r="H238" s="186"/>
      <c r="I238" s="186"/>
      <c r="J238" s="186"/>
      <c r="L238" s="186"/>
      <c r="M238" s="186"/>
      <c r="N238" s="186"/>
      <c r="Q238" s="186"/>
      <c r="R238" s="186"/>
    </row>
    <row r="239" spans="4:18">
      <c r="D239" s="186"/>
      <c r="E239" s="480"/>
      <c r="F239" s="186"/>
      <c r="G239" s="186"/>
      <c r="H239" s="186"/>
      <c r="I239" s="186"/>
      <c r="J239" s="186"/>
      <c r="L239" s="186"/>
      <c r="M239" s="186"/>
      <c r="N239" s="186"/>
      <c r="Q239" s="186"/>
      <c r="R239" s="186"/>
    </row>
    <row r="240" spans="4:18">
      <c r="D240" s="186"/>
      <c r="E240" s="480"/>
      <c r="F240" s="186"/>
      <c r="G240" s="186"/>
      <c r="H240" s="186"/>
      <c r="I240" s="186"/>
      <c r="J240" s="186"/>
      <c r="L240" s="186"/>
      <c r="M240" s="186"/>
      <c r="N240" s="186"/>
      <c r="Q240" s="186"/>
      <c r="R240" s="186"/>
    </row>
    <row r="241" spans="4:18">
      <c r="D241" s="186"/>
      <c r="E241" s="480"/>
      <c r="F241" s="186"/>
      <c r="G241" s="186"/>
      <c r="H241" s="186"/>
      <c r="I241" s="186"/>
      <c r="J241" s="186"/>
      <c r="L241" s="186"/>
      <c r="M241" s="186"/>
      <c r="N241" s="186"/>
      <c r="Q241" s="186"/>
      <c r="R241" s="186"/>
    </row>
    <row r="242" spans="4:18">
      <c r="D242" s="186"/>
      <c r="E242" s="480"/>
      <c r="F242" s="186"/>
      <c r="G242" s="186"/>
      <c r="H242" s="186"/>
      <c r="I242" s="186"/>
      <c r="J242" s="186"/>
      <c r="L242" s="186"/>
      <c r="M242" s="186"/>
      <c r="N242" s="186"/>
      <c r="Q242" s="186"/>
      <c r="R242" s="186"/>
    </row>
    <row r="243" spans="4:18">
      <c r="D243" s="186"/>
      <c r="E243" s="480"/>
      <c r="F243" s="186"/>
      <c r="G243" s="186"/>
      <c r="H243" s="186"/>
      <c r="I243" s="186"/>
      <c r="J243" s="186"/>
      <c r="L243" s="186"/>
      <c r="M243" s="186"/>
      <c r="N243" s="186"/>
      <c r="Q243" s="186"/>
      <c r="R243" s="186"/>
    </row>
    <row r="244" spans="4:18">
      <c r="D244" s="186"/>
      <c r="E244" s="480"/>
      <c r="F244" s="186"/>
      <c r="G244" s="186"/>
      <c r="H244" s="186"/>
      <c r="I244" s="186"/>
      <c r="J244" s="186"/>
      <c r="L244" s="186"/>
      <c r="M244" s="186"/>
      <c r="N244" s="186"/>
      <c r="Q244" s="186"/>
      <c r="R244" s="186"/>
    </row>
    <row r="245" spans="4:18">
      <c r="D245" s="186"/>
      <c r="E245" s="480"/>
      <c r="F245" s="186"/>
      <c r="G245" s="186"/>
      <c r="H245" s="186"/>
      <c r="I245" s="186"/>
      <c r="J245" s="186"/>
      <c r="L245" s="186"/>
      <c r="M245" s="186"/>
      <c r="N245" s="186"/>
      <c r="Q245" s="186"/>
      <c r="R245" s="186"/>
    </row>
    <row r="246" spans="4:18">
      <c r="D246" s="186"/>
      <c r="E246" s="480"/>
      <c r="F246" s="186"/>
      <c r="G246" s="186"/>
      <c r="H246" s="186"/>
      <c r="I246" s="186"/>
      <c r="J246" s="186"/>
      <c r="L246" s="186"/>
      <c r="M246" s="186"/>
      <c r="N246" s="186"/>
      <c r="Q246" s="186"/>
      <c r="R246" s="186"/>
    </row>
    <row r="247" spans="4:18">
      <c r="D247" s="186"/>
      <c r="E247" s="480"/>
      <c r="F247" s="186"/>
      <c r="G247" s="186"/>
      <c r="H247" s="186"/>
      <c r="I247" s="186"/>
      <c r="J247" s="186"/>
      <c r="L247" s="186"/>
      <c r="M247" s="186"/>
      <c r="N247" s="186"/>
      <c r="Q247" s="186"/>
      <c r="R247" s="186"/>
    </row>
    <row r="248" spans="4:18">
      <c r="D248" s="186"/>
      <c r="E248" s="480"/>
      <c r="F248" s="186"/>
      <c r="G248" s="186"/>
      <c r="H248" s="186"/>
      <c r="I248" s="186"/>
      <c r="J248" s="186"/>
      <c r="L248" s="186"/>
      <c r="M248" s="186"/>
      <c r="N248" s="186"/>
      <c r="Q248" s="186"/>
      <c r="R248" s="186"/>
    </row>
    <row r="249" spans="4:18">
      <c r="D249" s="186"/>
      <c r="E249" s="480"/>
      <c r="F249" s="186"/>
      <c r="G249" s="186"/>
      <c r="H249" s="186"/>
      <c r="I249" s="186"/>
      <c r="J249" s="186"/>
      <c r="L249" s="186"/>
      <c r="M249" s="186"/>
      <c r="N249" s="186"/>
      <c r="Q249" s="186"/>
      <c r="R249" s="186"/>
    </row>
    <row r="250" spans="4:18">
      <c r="D250" s="186"/>
      <c r="E250" s="480"/>
      <c r="F250" s="186"/>
      <c r="G250" s="186"/>
      <c r="H250" s="186"/>
      <c r="I250" s="186"/>
      <c r="J250" s="186"/>
      <c r="L250" s="186"/>
      <c r="M250" s="186"/>
      <c r="N250" s="186"/>
      <c r="Q250" s="186"/>
      <c r="R250" s="186"/>
    </row>
    <row r="251" spans="4:18">
      <c r="D251" s="186"/>
      <c r="E251" s="480"/>
      <c r="F251" s="186"/>
      <c r="G251" s="186"/>
      <c r="H251" s="186"/>
      <c r="I251" s="186"/>
      <c r="J251" s="186"/>
      <c r="L251" s="186"/>
      <c r="M251" s="186"/>
      <c r="N251" s="186"/>
      <c r="Q251" s="186"/>
      <c r="R251" s="186"/>
    </row>
    <row r="252" spans="4:18">
      <c r="D252" s="186"/>
      <c r="E252" s="480"/>
      <c r="F252" s="186"/>
      <c r="G252" s="186"/>
      <c r="H252" s="186"/>
      <c r="I252" s="186"/>
      <c r="J252" s="186"/>
      <c r="L252" s="186"/>
      <c r="M252" s="186"/>
      <c r="N252" s="186"/>
      <c r="Q252" s="186"/>
      <c r="R252" s="186"/>
    </row>
    <row r="253" spans="4:18">
      <c r="D253" s="186"/>
      <c r="E253" s="480"/>
      <c r="F253" s="186"/>
      <c r="G253" s="186"/>
      <c r="H253" s="186"/>
      <c r="I253" s="186"/>
      <c r="J253" s="186"/>
      <c r="L253" s="186"/>
      <c r="M253" s="186"/>
      <c r="N253" s="186"/>
      <c r="Q253" s="186"/>
      <c r="R253" s="186"/>
    </row>
    <row r="254" spans="4:18">
      <c r="D254" s="186"/>
      <c r="E254" s="480"/>
      <c r="F254" s="186"/>
      <c r="G254" s="186"/>
      <c r="H254" s="186"/>
      <c r="I254" s="186"/>
      <c r="J254" s="186"/>
      <c r="L254" s="186"/>
      <c r="M254" s="186"/>
      <c r="N254" s="186"/>
      <c r="Q254" s="186"/>
      <c r="R254" s="186"/>
    </row>
    <row r="255" spans="4:18">
      <c r="D255" s="186"/>
      <c r="E255" s="480"/>
      <c r="F255" s="186"/>
      <c r="G255" s="186"/>
      <c r="H255" s="186"/>
      <c r="I255" s="186"/>
      <c r="J255" s="186"/>
      <c r="L255" s="186"/>
      <c r="M255" s="186"/>
      <c r="N255" s="186"/>
      <c r="Q255" s="186"/>
      <c r="R255" s="186"/>
    </row>
    <row r="256" spans="4:18">
      <c r="D256" s="186"/>
      <c r="E256" s="480"/>
      <c r="F256" s="186"/>
      <c r="G256" s="186"/>
      <c r="H256" s="186"/>
      <c r="I256" s="186"/>
      <c r="J256" s="186"/>
      <c r="L256" s="186"/>
      <c r="M256" s="186"/>
      <c r="N256" s="186"/>
      <c r="Q256" s="186"/>
      <c r="R256" s="186"/>
    </row>
    <row r="257" spans="4:18">
      <c r="D257" s="186"/>
      <c r="E257" s="480"/>
      <c r="F257" s="186"/>
      <c r="G257" s="186"/>
      <c r="H257" s="186"/>
      <c r="I257" s="186"/>
      <c r="J257" s="186"/>
      <c r="L257" s="186"/>
      <c r="M257" s="186"/>
      <c r="N257" s="186"/>
      <c r="Q257" s="186"/>
      <c r="R257" s="186"/>
    </row>
    <row r="258" spans="4:18">
      <c r="D258" s="186"/>
      <c r="E258" s="480"/>
      <c r="F258" s="186"/>
      <c r="G258" s="186"/>
      <c r="H258" s="186"/>
      <c r="I258" s="186"/>
      <c r="J258" s="186"/>
      <c r="L258" s="186"/>
      <c r="M258" s="186"/>
      <c r="N258" s="186"/>
      <c r="Q258" s="186"/>
      <c r="R258" s="186"/>
    </row>
    <row r="259" spans="4:18">
      <c r="D259" s="186"/>
      <c r="E259" s="480"/>
      <c r="F259" s="186"/>
      <c r="G259" s="186"/>
      <c r="H259" s="186"/>
      <c r="I259" s="186"/>
      <c r="J259" s="186"/>
      <c r="L259" s="186"/>
      <c r="M259" s="186"/>
      <c r="N259" s="186"/>
      <c r="Q259" s="186"/>
      <c r="R259" s="186"/>
    </row>
    <row r="260" spans="4:18">
      <c r="D260" s="186"/>
      <c r="E260" s="480"/>
      <c r="F260" s="186"/>
      <c r="G260" s="186"/>
      <c r="H260" s="186"/>
      <c r="I260" s="186"/>
      <c r="J260" s="186"/>
      <c r="L260" s="186"/>
      <c r="M260" s="186"/>
      <c r="N260" s="186"/>
      <c r="Q260" s="186"/>
      <c r="R260" s="186"/>
    </row>
    <row r="261" spans="4:18">
      <c r="D261" s="186"/>
      <c r="E261" s="480"/>
      <c r="F261" s="186"/>
      <c r="G261" s="186"/>
      <c r="H261" s="186"/>
      <c r="I261" s="186"/>
      <c r="J261" s="186"/>
      <c r="L261" s="186"/>
      <c r="M261" s="186"/>
      <c r="N261" s="186"/>
      <c r="Q261" s="186"/>
      <c r="R261" s="186"/>
    </row>
    <row r="262" spans="4:18">
      <c r="D262" s="186"/>
      <c r="E262" s="480"/>
      <c r="F262" s="186"/>
      <c r="G262" s="186"/>
      <c r="H262" s="186"/>
      <c r="I262" s="186"/>
      <c r="J262" s="186"/>
      <c r="L262" s="186"/>
      <c r="M262" s="186"/>
      <c r="N262" s="186"/>
      <c r="Q262" s="186"/>
      <c r="R262" s="186"/>
    </row>
    <row r="263" spans="4:18">
      <c r="D263" s="186"/>
      <c r="E263" s="480"/>
      <c r="F263" s="186"/>
      <c r="G263" s="186"/>
      <c r="H263" s="186"/>
      <c r="I263" s="186"/>
      <c r="J263" s="186"/>
      <c r="L263" s="186"/>
      <c r="M263" s="186"/>
      <c r="N263" s="186"/>
      <c r="Q263" s="186"/>
      <c r="R263" s="186"/>
    </row>
    <row r="264" spans="4:18">
      <c r="D264" s="186"/>
      <c r="E264" s="480"/>
      <c r="F264" s="186"/>
      <c r="G264" s="186"/>
      <c r="H264" s="186"/>
      <c r="I264" s="186"/>
      <c r="J264" s="186"/>
      <c r="L264" s="186"/>
      <c r="M264" s="186"/>
      <c r="N264" s="186"/>
      <c r="Q264" s="186"/>
      <c r="R264" s="186"/>
    </row>
    <row r="265" spans="4:18">
      <c r="D265" s="186"/>
      <c r="E265" s="480"/>
      <c r="F265" s="186"/>
      <c r="G265" s="186"/>
      <c r="H265" s="186"/>
      <c r="I265" s="186"/>
      <c r="J265" s="186"/>
      <c r="L265" s="186"/>
      <c r="M265" s="186"/>
      <c r="N265" s="186"/>
      <c r="Q265" s="186"/>
      <c r="R265" s="186"/>
    </row>
    <row r="266" spans="4:18">
      <c r="D266" s="186"/>
      <c r="E266" s="480"/>
      <c r="F266" s="186"/>
      <c r="G266" s="186"/>
      <c r="H266" s="186"/>
      <c r="I266" s="186"/>
      <c r="J266" s="186"/>
      <c r="L266" s="186"/>
      <c r="M266" s="186"/>
      <c r="N266" s="186"/>
      <c r="Q266" s="186"/>
      <c r="R266" s="186"/>
    </row>
    <row r="267" spans="4:18">
      <c r="D267" s="186"/>
      <c r="E267" s="480"/>
      <c r="F267" s="186"/>
      <c r="G267" s="186"/>
      <c r="H267" s="186"/>
      <c r="I267" s="186"/>
      <c r="J267" s="186"/>
      <c r="L267" s="186"/>
      <c r="M267" s="186"/>
      <c r="N267" s="186"/>
      <c r="Q267" s="186"/>
      <c r="R267" s="186"/>
    </row>
    <row r="268" spans="4:18">
      <c r="D268" s="186"/>
      <c r="E268" s="480"/>
      <c r="F268" s="186"/>
      <c r="G268" s="186"/>
      <c r="H268" s="186"/>
      <c r="I268" s="186"/>
      <c r="J268" s="186"/>
      <c r="L268" s="186"/>
      <c r="M268" s="186"/>
      <c r="N268" s="186"/>
      <c r="Q268" s="186"/>
      <c r="R268" s="186"/>
    </row>
    <row r="269" spans="4:18">
      <c r="D269" s="186"/>
      <c r="E269" s="480"/>
      <c r="F269" s="186"/>
      <c r="G269" s="186"/>
      <c r="H269" s="186"/>
      <c r="I269" s="186"/>
      <c r="J269" s="186"/>
      <c r="L269" s="186"/>
      <c r="M269" s="186"/>
      <c r="N269" s="186"/>
      <c r="Q269" s="186"/>
      <c r="R269" s="186"/>
    </row>
    <row r="270" spans="4:18">
      <c r="D270" s="186"/>
      <c r="E270" s="480"/>
      <c r="F270" s="186"/>
      <c r="G270" s="186"/>
      <c r="H270" s="186"/>
      <c r="I270" s="186"/>
      <c r="J270" s="186"/>
      <c r="L270" s="186"/>
      <c r="M270" s="186"/>
      <c r="N270" s="186"/>
      <c r="Q270" s="186"/>
      <c r="R270" s="186"/>
    </row>
    <row r="271" spans="4:18">
      <c r="D271" s="186"/>
      <c r="E271" s="480"/>
      <c r="F271" s="186"/>
      <c r="G271" s="186"/>
      <c r="H271" s="186"/>
      <c r="I271" s="186"/>
      <c r="J271" s="186"/>
      <c r="L271" s="186"/>
      <c r="M271" s="186"/>
      <c r="N271" s="186"/>
      <c r="Q271" s="186"/>
      <c r="R271" s="186"/>
    </row>
    <row r="272" spans="4:18">
      <c r="D272" s="186"/>
      <c r="E272" s="480"/>
      <c r="F272" s="186"/>
      <c r="G272" s="186"/>
      <c r="H272" s="186"/>
      <c r="I272" s="186"/>
      <c r="J272" s="186"/>
      <c r="L272" s="186"/>
      <c r="M272" s="186"/>
      <c r="N272" s="186"/>
      <c r="Q272" s="186"/>
      <c r="R272" s="186"/>
    </row>
    <row r="273" spans="4:18">
      <c r="D273" s="186"/>
      <c r="E273" s="480"/>
      <c r="F273" s="186"/>
      <c r="G273" s="186"/>
      <c r="H273" s="186"/>
      <c r="I273" s="186"/>
      <c r="J273" s="186"/>
      <c r="L273" s="186"/>
      <c r="M273" s="186"/>
      <c r="N273" s="186"/>
      <c r="Q273" s="186"/>
      <c r="R273" s="186"/>
    </row>
    <row r="274" spans="4:18">
      <c r="D274" s="186"/>
      <c r="E274" s="480"/>
      <c r="F274" s="186"/>
      <c r="G274" s="186"/>
      <c r="H274" s="186"/>
      <c r="I274" s="186"/>
      <c r="J274" s="186"/>
      <c r="L274" s="186"/>
      <c r="M274" s="186"/>
      <c r="N274" s="186"/>
      <c r="Q274" s="186"/>
      <c r="R274" s="186"/>
    </row>
    <row r="275" spans="4:18">
      <c r="D275" s="186"/>
      <c r="E275" s="480"/>
      <c r="F275" s="186"/>
      <c r="G275" s="186"/>
      <c r="H275" s="186"/>
      <c r="I275" s="186"/>
      <c r="J275" s="186"/>
      <c r="L275" s="186"/>
      <c r="M275" s="186"/>
      <c r="N275" s="186"/>
      <c r="Q275" s="186"/>
      <c r="R275" s="186"/>
    </row>
    <row r="276" spans="4:18">
      <c r="D276" s="186"/>
      <c r="E276" s="480"/>
      <c r="F276" s="186"/>
      <c r="G276" s="186"/>
      <c r="H276" s="186"/>
      <c r="I276" s="186"/>
      <c r="J276" s="186"/>
      <c r="L276" s="186"/>
      <c r="M276" s="186"/>
      <c r="N276" s="186"/>
      <c r="Q276" s="186"/>
      <c r="R276" s="186"/>
    </row>
    <row r="277" spans="4:18">
      <c r="D277" s="186"/>
      <c r="E277" s="480"/>
      <c r="F277" s="186"/>
      <c r="G277" s="186"/>
      <c r="H277" s="186"/>
      <c r="I277" s="186"/>
      <c r="J277" s="186"/>
      <c r="L277" s="186"/>
      <c r="M277" s="186"/>
      <c r="N277" s="186"/>
      <c r="Q277" s="186"/>
      <c r="R277" s="186"/>
    </row>
    <row r="278" spans="4:18">
      <c r="D278" s="186"/>
      <c r="E278" s="480"/>
      <c r="F278" s="186"/>
      <c r="G278" s="186"/>
      <c r="H278" s="186"/>
      <c r="I278" s="186"/>
      <c r="J278" s="186"/>
      <c r="L278" s="186"/>
      <c r="M278" s="186"/>
      <c r="N278" s="186"/>
      <c r="Q278" s="186"/>
      <c r="R278" s="186"/>
    </row>
    <row r="279" spans="4:18">
      <c r="D279" s="186"/>
      <c r="E279" s="480"/>
      <c r="F279" s="186"/>
      <c r="G279" s="186"/>
      <c r="H279" s="186"/>
      <c r="I279" s="186"/>
      <c r="J279" s="186"/>
      <c r="L279" s="186"/>
      <c r="M279" s="186"/>
      <c r="N279" s="186"/>
      <c r="Q279" s="186"/>
      <c r="R279" s="186"/>
    </row>
    <row r="280" spans="4:18">
      <c r="D280" s="186"/>
      <c r="E280" s="480"/>
      <c r="F280" s="186"/>
      <c r="G280" s="186"/>
      <c r="H280" s="186"/>
      <c r="I280" s="186"/>
      <c r="J280" s="186"/>
      <c r="L280" s="186"/>
      <c r="M280" s="186"/>
      <c r="N280" s="186"/>
      <c r="Q280" s="186"/>
      <c r="R280" s="186"/>
    </row>
    <row r="281" spans="4:18">
      <c r="D281" s="186"/>
      <c r="E281" s="480"/>
      <c r="F281" s="186"/>
      <c r="G281" s="186"/>
      <c r="H281" s="186"/>
      <c r="I281" s="186"/>
      <c r="J281" s="186"/>
      <c r="L281" s="186"/>
      <c r="M281" s="186"/>
      <c r="N281" s="186"/>
      <c r="Q281" s="186"/>
      <c r="R281" s="186"/>
    </row>
    <row r="282" spans="4:18">
      <c r="D282" s="186"/>
      <c r="E282" s="480"/>
      <c r="F282" s="186"/>
      <c r="G282" s="186"/>
      <c r="H282" s="186"/>
      <c r="I282" s="186"/>
      <c r="J282" s="186"/>
      <c r="L282" s="186"/>
      <c r="M282" s="186"/>
      <c r="N282" s="186"/>
      <c r="Q282" s="186"/>
      <c r="R282" s="186"/>
    </row>
    <row r="283" spans="4:18">
      <c r="D283" s="186"/>
      <c r="E283" s="480"/>
      <c r="F283" s="186"/>
      <c r="G283" s="186"/>
      <c r="H283" s="186"/>
      <c r="I283" s="186"/>
      <c r="J283" s="186"/>
      <c r="L283" s="186"/>
      <c r="M283" s="186"/>
      <c r="N283" s="186"/>
      <c r="Q283" s="186"/>
      <c r="R283" s="186"/>
    </row>
    <row r="284" spans="4:18">
      <c r="D284" s="186"/>
      <c r="E284" s="480"/>
      <c r="F284" s="186"/>
      <c r="G284" s="186"/>
      <c r="H284" s="186"/>
      <c r="I284" s="186"/>
      <c r="J284" s="186"/>
      <c r="L284" s="186"/>
      <c r="M284" s="186"/>
      <c r="N284" s="186"/>
      <c r="Q284" s="186"/>
      <c r="R284" s="186"/>
    </row>
    <row r="285" spans="4:18">
      <c r="D285" s="186"/>
      <c r="E285" s="480"/>
      <c r="F285" s="186"/>
      <c r="G285" s="186"/>
      <c r="H285" s="186"/>
      <c r="I285" s="186"/>
      <c r="J285" s="186"/>
      <c r="L285" s="186"/>
      <c r="M285" s="186"/>
      <c r="N285" s="186"/>
      <c r="Q285" s="186"/>
      <c r="R285" s="186"/>
    </row>
    <row r="286" spans="4:18">
      <c r="D286" s="186"/>
      <c r="E286" s="480"/>
      <c r="F286" s="186"/>
      <c r="G286" s="186"/>
      <c r="H286" s="186"/>
      <c r="I286" s="186"/>
      <c r="J286" s="186"/>
      <c r="L286" s="186"/>
      <c r="M286" s="186"/>
      <c r="N286" s="186"/>
      <c r="Q286" s="186"/>
      <c r="R286" s="186"/>
    </row>
    <row r="287" spans="4:18">
      <c r="D287" s="186"/>
      <c r="E287" s="480"/>
      <c r="F287" s="186"/>
      <c r="G287" s="186"/>
      <c r="H287" s="186"/>
      <c r="I287" s="186"/>
      <c r="J287" s="186"/>
      <c r="L287" s="186"/>
      <c r="M287" s="186"/>
      <c r="N287" s="186"/>
      <c r="Q287" s="186"/>
      <c r="R287" s="186"/>
    </row>
    <row r="288" spans="4:18">
      <c r="D288" s="186"/>
      <c r="E288" s="480"/>
      <c r="F288" s="186"/>
      <c r="G288" s="186"/>
      <c r="H288" s="186"/>
      <c r="I288" s="186"/>
      <c r="J288" s="186"/>
      <c r="L288" s="186"/>
      <c r="M288" s="186"/>
      <c r="N288" s="186"/>
      <c r="Q288" s="186"/>
      <c r="R288" s="186"/>
    </row>
    <row r="289" spans="4:18">
      <c r="D289" s="186"/>
      <c r="E289" s="480"/>
      <c r="F289" s="186"/>
      <c r="G289" s="186"/>
      <c r="H289" s="186"/>
      <c r="I289" s="186"/>
      <c r="J289" s="186"/>
      <c r="L289" s="186"/>
      <c r="M289" s="186"/>
      <c r="N289" s="186"/>
      <c r="Q289" s="186"/>
      <c r="R289" s="186"/>
    </row>
    <row r="290" spans="4:18">
      <c r="D290" s="186"/>
      <c r="E290" s="480"/>
      <c r="F290" s="186"/>
      <c r="G290" s="186"/>
      <c r="H290" s="186"/>
      <c r="I290" s="186"/>
      <c r="J290" s="186"/>
      <c r="L290" s="186"/>
      <c r="M290" s="186"/>
      <c r="N290" s="186"/>
      <c r="Q290" s="186"/>
      <c r="R290" s="186"/>
    </row>
    <row r="291" spans="4:18">
      <c r="D291" s="186"/>
      <c r="E291" s="480"/>
      <c r="F291" s="186"/>
      <c r="G291" s="186"/>
      <c r="H291" s="186"/>
      <c r="I291" s="186"/>
      <c r="J291" s="186"/>
      <c r="L291" s="186"/>
      <c r="M291" s="186"/>
      <c r="N291" s="186"/>
      <c r="Q291" s="186"/>
      <c r="R291" s="186"/>
    </row>
    <row r="292" spans="4:18">
      <c r="D292" s="186"/>
      <c r="E292" s="480"/>
      <c r="F292" s="186"/>
      <c r="G292" s="186"/>
      <c r="H292" s="186"/>
      <c r="I292" s="186"/>
      <c r="J292" s="186"/>
      <c r="L292" s="186"/>
      <c r="M292" s="186"/>
      <c r="N292" s="186"/>
      <c r="Q292" s="186"/>
      <c r="R292" s="186"/>
    </row>
    <row r="293" spans="4:18">
      <c r="D293" s="186"/>
      <c r="E293" s="480"/>
      <c r="F293" s="186"/>
      <c r="G293" s="186"/>
      <c r="H293" s="186"/>
      <c r="I293" s="186"/>
      <c r="J293" s="186"/>
      <c r="L293" s="186"/>
      <c r="M293" s="186"/>
      <c r="N293" s="186"/>
      <c r="Q293" s="186"/>
      <c r="R293" s="186"/>
    </row>
    <row r="294" spans="4:18">
      <c r="D294" s="186"/>
      <c r="E294" s="480"/>
      <c r="F294" s="186"/>
      <c r="G294" s="186"/>
      <c r="H294" s="186"/>
      <c r="I294" s="186"/>
      <c r="J294" s="186"/>
      <c r="L294" s="186"/>
      <c r="M294" s="186"/>
      <c r="N294" s="186"/>
      <c r="Q294" s="186"/>
      <c r="R294" s="186"/>
    </row>
    <row r="295" spans="4:18">
      <c r="D295" s="186"/>
      <c r="E295" s="480"/>
      <c r="F295" s="186"/>
      <c r="G295" s="186"/>
      <c r="H295" s="186"/>
      <c r="I295" s="186"/>
      <c r="J295" s="186"/>
      <c r="L295" s="186"/>
      <c r="M295" s="186"/>
      <c r="N295" s="186"/>
      <c r="Q295" s="186"/>
      <c r="R295" s="186"/>
    </row>
    <row r="296" spans="4:18">
      <c r="D296" s="186"/>
      <c r="E296" s="480"/>
      <c r="F296" s="186"/>
      <c r="G296" s="186"/>
      <c r="H296" s="186"/>
      <c r="I296" s="186"/>
      <c r="J296" s="186"/>
      <c r="L296" s="186"/>
      <c r="M296" s="186"/>
      <c r="N296" s="186"/>
      <c r="Q296" s="186"/>
      <c r="R296" s="186"/>
    </row>
    <row r="297" spans="4:18">
      <c r="D297" s="186"/>
      <c r="E297" s="480"/>
      <c r="F297" s="186"/>
      <c r="G297" s="186"/>
      <c r="H297" s="186"/>
      <c r="I297" s="186"/>
      <c r="J297" s="186"/>
      <c r="L297" s="186"/>
      <c r="M297" s="186"/>
      <c r="N297" s="186"/>
      <c r="Q297" s="186"/>
      <c r="R297" s="186"/>
    </row>
    <row r="298" spans="4:18">
      <c r="D298" s="186"/>
      <c r="E298" s="480"/>
      <c r="F298" s="186"/>
      <c r="G298" s="186"/>
      <c r="H298" s="186"/>
      <c r="I298" s="186"/>
      <c r="J298" s="186"/>
      <c r="L298" s="186"/>
      <c r="M298" s="186"/>
      <c r="N298" s="186"/>
      <c r="Q298" s="186"/>
      <c r="R298" s="186"/>
    </row>
    <row r="299" spans="4:18">
      <c r="D299" s="186"/>
      <c r="E299" s="480"/>
      <c r="F299" s="186"/>
      <c r="G299" s="186"/>
      <c r="H299" s="186"/>
      <c r="I299" s="186"/>
      <c r="J299" s="186"/>
      <c r="L299" s="186"/>
      <c r="M299" s="186"/>
      <c r="N299" s="186"/>
      <c r="Q299" s="186"/>
      <c r="R299" s="186"/>
    </row>
    <row r="300" spans="4:18">
      <c r="D300" s="186"/>
      <c r="E300" s="480"/>
      <c r="F300" s="186"/>
      <c r="G300" s="186"/>
      <c r="H300" s="186"/>
      <c r="I300" s="186"/>
      <c r="J300" s="186"/>
      <c r="L300" s="186"/>
      <c r="M300" s="186"/>
      <c r="N300" s="186"/>
      <c r="Q300" s="186"/>
      <c r="R300" s="186"/>
    </row>
    <row r="301" spans="4:18">
      <c r="D301" s="186"/>
      <c r="E301" s="480"/>
      <c r="F301" s="186"/>
      <c r="G301" s="186"/>
      <c r="H301" s="186"/>
      <c r="I301" s="186"/>
      <c r="J301" s="186"/>
      <c r="L301" s="186"/>
      <c r="M301" s="186"/>
      <c r="N301" s="186"/>
      <c r="Q301" s="186"/>
      <c r="R301" s="186"/>
    </row>
    <row r="302" spans="4:18">
      <c r="D302" s="186"/>
      <c r="E302" s="480"/>
      <c r="F302" s="186"/>
      <c r="G302" s="186"/>
      <c r="H302" s="186"/>
      <c r="I302" s="186"/>
      <c r="J302" s="186"/>
      <c r="L302" s="186"/>
      <c r="M302" s="186"/>
      <c r="N302" s="186"/>
      <c r="Q302" s="186"/>
      <c r="R302" s="186"/>
    </row>
    <row r="303" spans="4:18">
      <c r="D303" s="186"/>
      <c r="E303" s="480"/>
      <c r="F303" s="186"/>
      <c r="G303" s="186"/>
      <c r="H303" s="186"/>
      <c r="I303" s="186"/>
      <c r="J303" s="186"/>
      <c r="L303" s="186"/>
      <c r="M303" s="186"/>
      <c r="N303" s="186"/>
      <c r="Q303" s="186"/>
      <c r="R303" s="186"/>
    </row>
    <row r="304" spans="4:18">
      <c r="D304" s="186"/>
      <c r="E304" s="480"/>
      <c r="F304" s="186"/>
      <c r="G304" s="186"/>
      <c r="H304" s="186"/>
      <c r="I304" s="186"/>
      <c r="J304" s="186"/>
      <c r="L304" s="186"/>
      <c r="M304" s="186"/>
      <c r="N304" s="186"/>
      <c r="Q304" s="186"/>
      <c r="R304" s="186"/>
    </row>
    <row r="305" spans="4:18">
      <c r="D305" s="186"/>
      <c r="E305" s="480"/>
      <c r="F305" s="186"/>
      <c r="G305" s="186"/>
      <c r="H305" s="186"/>
      <c r="I305" s="186"/>
      <c r="J305" s="186"/>
      <c r="L305" s="186"/>
      <c r="M305" s="186"/>
      <c r="N305" s="186"/>
      <c r="Q305" s="186"/>
      <c r="R305" s="186"/>
    </row>
    <row r="306" spans="4:18">
      <c r="D306" s="186"/>
      <c r="E306" s="480"/>
      <c r="F306" s="186"/>
      <c r="G306" s="186"/>
      <c r="H306" s="186"/>
      <c r="I306" s="186"/>
      <c r="J306" s="186"/>
      <c r="L306" s="186"/>
      <c r="M306" s="186"/>
      <c r="N306" s="186"/>
      <c r="Q306" s="186"/>
      <c r="R306" s="186"/>
    </row>
    <row r="307" spans="4:18">
      <c r="D307" s="186"/>
      <c r="E307" s="480"/>
      <c r="F307" s="186"/>
      <c r="G307" s="186"/>
      <c r="H307" s="186"/>
      <c r="I307" s="186"/>
      <c r="J307" s="186"/>
      <c r="L307" s="186"/>
      <c r="M307" s="186"/>
      <c r="N307" s="186"/>
      <c r="Q307" s="186"/>
      <c r="R307" s="186"/>
    </row>
    <row r="308" spans="4:18">
      <c r="D308" s="186"/>
      <c r="E308" s="480"/>
      <c r="F308" s="186"/>
      <c r="G308" s="186"/>
      <c r="H308" s="186"/>
      <c r="I308" s="186"/>
      <c r="J308" s="186"/>
      <c r="L308" s="186"/>
      <c r="M308" s="186"/>
      <c r="N308" s="186"/>
      <c r="Q308" s="186"/>
      <c r="R308" s="186"/>
    </row>
    <row r="309" spans="4:18">
      <c r="D309" s="186"/>
      <c r="E309" s="480"/>
      <c r="F309" s="186"/>
      <c r="G309" s="186"/>
      <c r="H309" s="186"/>
      <c r="I309" s="186"/>
      <c r="J309" s="186"/>
      <c r="L309" s="186"/>
      <c r="M309" s="186"/>
      <c r="N309" s="186"/>
      <c r="Q309" s="186"/>
      <c r="R309" s="186"/>
    </row>
    <row r="310" spans="4:18">
      <c r="D310" s="186"/>
      <c r="E310" s="480"/>
      <c r="F310" s="186"/>
      <c r="G310" s="186"/>
      <c r="H310" s="186"/>
      <c r="I310" s="186"/>
      <c r="J310" s="186"/>
      <c r="L310" s="186"/>
      <c r="M310" s="186"/>
      <c r="N310" s="186"/>
      <c r="Q310" s="186"/>
      <c r="R310" s="186"/>
    </row>
    <row r="311" spans="4:18">
      <c r="D311" s="186"/>
      <c r="E311" s="480"/>
      <c r="F311" s="186"/>
      <c r="G311" s="186"/>
      <c r="H311" s="186"/>
      <c r="I311" s="186"/>
      <c r="J311" s="186"/>
      <c r="L311" s="186"/>
      <c r="M311" s="186"/>
      <c r="N311" s="186"/>
      <c r="Q311" s="186"/>
      <c r="R311" s="186"/>
    </row>
    <row r="312" spans="4:18">
      <c r="D312" s="186"/>
      <c r="E312" s="480"/>
      <c r="F312" s="186"/>
      <c r="G312" s="186"/>
      <c r="H312" s="186"/>
      <c r="I312" s="186"/>
      <c r="J312" s="186"/>
      <c r="L312" s="186"/>
      <c r="M312" s="186"/>
      <c r="N312" s="186"/>
      <c r="Q312" s="186"/>
      <c r="R312" s="186"/>
    </row>
    <row r="313" spans="4:18">
      <c r="D313" s="186"/>
      <c r="E313" s="480"/>
      <c r="F313" s="186"/>
      <c r="G313" s="186"/>
      <c r="H313" s="186"/>
      <c r="I313" s="186"/>
      <c r="J313" s="186"/>
      <c r="L313" s="186"/>
      <c r="M313" s="186"/>
      <c r="N313" s="186"/>
      <c r="Q313" s="186"/>
      <c r="R313" s="186"/>
    </row>
    <row r="314" spans="4:18">
      <c r="D314" s="186"/>
      <c r="E314" s="480"/>
      <c r="F314" s="186"/>
      <c r="G314" s="186"/>
      <c r="H314" s="186"/>
      <c r="I314" s="186"/>
      <c r="J314" s="186"/>
      <c r="L314" s="186"/>
      <c r="M314" s="186"/>
      <c r="N314" s="186"/>
      <c r="Q314" s="186"/>
      <c r="R314" s="186"/>
    </row>
    <row r="315" spans="4:18">
      <c r="D315" s="186"/>
      <c r="E315" s="480"/>
      <c r="F315" s="186"/>
      <c r="G315" s="186"/>
      <c r="H315" s="186"/>
      <c r="I315" s="186"/>
      <c r="J315" s="186"/>
      <c r="L315" s="186"/>
      <c r="M315" s="186"/>
      <c r="N315" s="186"/>
      <c r="Q315" s="186"/>
      <c r="R315" s="186"/>
    </row>
    <row r="316" spans="4:18">
      <c r="D316" s="186"/>
      <c r="E316" s="480"/>
      <c r="F316" s="186"/>
      <c r="G316" s="186"/>
      <c r="H316" s="186"/>
      <c r="I316" s="186"/>
      <c r="J316" s="186"/>
      <c r="L316" s="186"/>
      <c r="M316" s="186"/>
      <c r="N316" s="186"/>
      <c r="Q316" s="186"/>
      <c r="R316" s="186"/>
    </row>
    <row r="317" spans="4:18">
      <c r="D317" s="186"/>
      <c r="E317" s="480"/>
      <c r="F317" s="186"/>
      <c r="G317" s="186"/>
      <c r="H317" s="186"/>
      <c r="I317" s="186"/>
      <c r="J317" s="186"/>
      <c r="L317" s="186"/>
      <c r="M317" s="186"/>
      <c r="N317" s="186"/>
      <c r="Q317" s="186"/>
      <c r="R317" s="186"/>
    </row>
    <row r="318" spans="4:18">
      <c r="D318" s="186"/>
      <c r="E318" s="480"/>
      <c r="F318" s="186"/>
      <c r="G318" s="186"/>
      <c r="H318" s="186"/>
      <c r="I318" s="186"/>
      <c r="J318" s="186"/>
      <c r="L318" s="186"/>
      <c r="M318" s="186"/>
      <c r="N318" s="186"/>
      <c r="Q318" s="186"/>
      <c r="R318" s="186"/>
    </row>
    <row r="319" spans="4:18">
      <c r="D319" s="186"/>
      <c r="E319" s="480"/>
      <c r="F319" s="186"/>
      <c r="G319" s="186"/>
      <c r="H319" s="186"/>
      <c r="I319" s="186"/>
      <c r="J319" s="186"/>
      <c r="L319" s="186"/>
      <c r="M319" s="186"/>
      <c r="N319" s="186"/>
      <c r="Q319" s="186"/>
      <c r="R319" s="186"/>
    </row>
    <row r="320" spans="4:18">
      <c r="D320" s="186"/>
      <c r="E320" s="480"/>
      <c r="F320" s="186"/>
      <c r="G320" s="186"/>
      <c r="H320" s="186"/>
      <c r="I320" s="186"/>
      <c r="J320" s="186"/>
      <c r="L320" s="186"/>
      <c r="M320" s="186"/>
      <c r="N320" s="186"/>
      <c r="Q320" s="186"/>
      <c r="R320" s="186"/>
    </row>
    <row r="321" spans="4:18">
      <c r="D321" s="186"/>
      <c r="E321" s="480"/>
      <c r="F321" s="186"/>
      <c r="G321" s="186"/>
      <c r="H321" s="186"/>
      <c r="I321" s="186"/>
      <c r="J321" s="186"/>
      <c r="L321" s="186"/>
      <c r="M321" s="186"/>
      <c r="N321" s="186"/>
      <c r="Q321" s="186"/>
      <c r="R321" s="186"/>
    </row>
    <row r="322" spans="4:18">
      <c r="D322" s="186"/>
      <c r="E322" s="480"/>
      <c r="F322" s="186"/>
      <c r="G322" s="186"/>
      <c r="H322" s="186"/>
      <c r="I322" s="186"/>
      <c r="J322" s="186"/>
      <c r="L322" s="186"/>
      <c r="M322" s="186"/>
      <c r="N322" s="186"/>
      <c r="Q322" s="186"/>
      <c r="R322" s="186"/>
    </row>
    <row r="323" spans="4:18">
      <c r="D323" s="186"/>
      <c r="E323" s="480"/>
      <c r="F323" s="186"/>
      <c r="G323" s="186"/>
      <c r="H323" s="186"/>
      <c r="I323" s="186"/>
      <c r="J323" s="186"/>
      <c r="L323" s="186"/>
      <c r="M323" s="186"/>
      <c r="N323" s="186"/>
      <c r="Q323" s="186"/>
      <c r="R323" s="186"/>
    </row>
    <row r="324" spans="4:18">
      <c r="D324" s="186"/>
      <c r="E324" s="480"/>
      <c r="F324" s="186"/>
      <c r="G324" s="186"/>
      <c r="H324" s="186"/>
      <c r="I324" s="186"/>
      <c r="J324" s="186"/>
      <c r="L324" s="186"/>
      <c r="M324" s="186"/>
      <c r="N324" s="186"/>
      <c r="Q324" s="186"/>
      <c r="R324" s="186"/>
    </row>
    <row r="325" spans="4:18">
      <c r="D325" s="186"/>
      <c r="E325" s="480"/>
      <c r="F325" s="186"/>
      <c r="G325" s="186"/>
      <c r="H325" s="186"/>
      <c r="I325" s="186"/>
      <c r="J325" s="186"/>
      <c r="L325" s="186"/>
      <c r="M325" s="186"/>
      <c r="N325" s="186"/>
      <c r="Q325" s="186"/>
      <c r="R325" s="186"/>
    </row>
    <row r="326" spans="4:18">
      <c r="D326" s="186"/>
      <c r="E326" s="480"/>
      <c r="F326" s="186"/>
      <c r="G326" s="186"/>
      <c r="H326" s="186"/>
      <c r="I326" s="186"/>
      <c r="J326" s="186"/>
      <c r="L326" s="186"/>
      <c r="M326" s="186"/>
      <c r="N326" s="186"/>
      <c r="Q326" s="186"/>
      <c r="R326" s="186"/>
    </row>
    <row r="327" spans="4:18">
      <c r="D327" s="186"/>
      <c r="E327" s="480"/>
      <c r="F327" s="186"/>
      <c r="G327" s="186"/>
      <c r="H327" s="186"/>
      <c r="I327" s="186"/>
      <c r="J327" s="186"/>
      <c r="L327" s="186"/>
      <c r="M327" s="186"/>
      <c r="N327" s="186"/>
      <c r="Q327" s="186"/>
      <c r="R327" s="186"/>
    </row>
    <row r="328" spans="4:18">
      <c r="D328" s="186"/>
      <c r="E328" s="480"/>
      <c r="F328" s="186"/>
      <c r="G328" s="186"/>
      <c r="H328" s="186"/>
      <c r="I328" s="186"/>
      <c r="J328" s="186"/>
      <c r="L328" s="186"/>
      <c r="M328" s="186"/>
      <c r="N328" s="186"/>
      <c r="Q328" s="186"/>
      <c r="R328" s="186"/>
    </row>
    <row r="329" spans="4:18">
      <c r="D329" s="186"/>
      <c r="E329" s="480"/>
      <c r="F329" s="186"/>
      <c r="G329" s="186"/>
      <c r="H329" s="186"/>
      <c r="I329" s="186"/>
      <c r="J329" s="186"/>
      <c r="L329" s="186"/>
      <c r="M329" s="186"/>
      <c r="N329" s="186"/>
      <c r="Q329" s="186"/>
      <c r="R329" s="186"/>
    </row>
    <row r="330" spans="4:18">
      <c r="D330" s="186"/>
      <c r="E330" s="480"/>
      <c r="F330" s="186"/>
      <c r="G330" s="186"/>
      <c r="H330" s="186"/>
      <c r="I330" s="186"/>
      <c r="J330" s="186"/>
      <c r="L330" s="186"/>
      <c r="M330" s="186"/>
      <c r="N330" s="186"/>
      <c r="Q330" s="186"/>
      <c r="R330" s="186"/>
    </row>
    <row r="331" spans="4:18">
      <c r="D331" s="186"/>
      <c r="E331" s="480"/>
      <c r="F331" s="186"/>
      <c r="G331" s="186"/>
      <c r="H331" s="186"/>
      <c r="I331" s="186"/>
      <c r="J331" s="186"/>
      <c r="L331" s="186"/>
      <c r="M331" s="186"/>
      <c r="N331" s="186"/>
      <c r="Q331" s="186"/>
      <c r="R331" s="186"/>
    </row>
    <row r="332" spans="4:18">
      <c r="D332" s="186"/>
      <c r="E332" s="480"/>
      <c r="F332" s="186"/>
      <c r="G332" s="186"/>
      <c r="H332" s="186"/>
      <c r="I332" s="186"/>
      <c r="J332" s="186"/>
      <c r="L332" s="186"/>
      <c r="M332" s="186"/>
      <c r="N332" s="186"/>
      <c r="Q332" s="186"/>
      <c r="R332" s="186"/>
    </row>
    <row r="333" spans="4:18">
      <c r="D333" s="186"/>
      <c r="E333" s="480"/>
      <c r="F333" s="186"/>
      <c r="G333" s="186"/>
      <c r="H333" s="186"/>
      <c r="I333" s="186"/>
      <c r="J333" s="186"/>
      <c r="L333" s="186"/>
      <c r="M333" s="186"/>
      <c r="N333" s="186"/>
      <c r="Q333" s="186"/>
      <c r="R333" s="186"/>
    </row>
    <row r="334" spans="4:18">
      <c r="D334" s="186"/>
      <c r="E334" s="480"/>
      <c r="F334" s="186"/>
      <c r="G334" s="186"/>
      <c r="H334" s="186"/>
      <c r="I334" s="186"/>
      <c r="J334" s="186"/>
      <c r="L334" s="186"/>
      <c r="M334" s="186"/>
      <c r="N334" s="186"/>
      <c r="Q334" s="186"/>
      <c r="R334" s="186"/>
    </row>
    <row r="335" spans="4:18">
      <c r="D335" s="186"/>
      <c r="E335" s="480"/>
      <c r="F335" s="186"/>
      <c r="G335" s="186"/>
      <c r="H335" s="186"/>
      <c r="I335" s="186"/>
      <c r="J335" s="186"/>
      <c r="L335" s="186"/>
      <c r="M335" s="186"/>
      <c r="N335" s="186"/>
      <c r="Q335" s="186"/>
      <c r="R335" s="186"/>
    </row>
    <row r="336" spans="4:18">
      <c r="D336" s="186"/>
      <c r="E336" s="480"/>
      <c r="F336" s="186"/>
      <c r="G336" s="186"/>
      <c r="H336" s="186"/>
      <c r="I336" s="186"/>
      <c r="J336" s="186"/>
      <c r="L336" s="186"/>
      <c r="M336" s="186"/>
      <c r="N336" s="186"/>
      <c r="Q336" s="186"/>
      <c r="R336" s="186"/>
    </row>
    <row r="337" spans="4:18">
      <c r="D337" s="186"/>
      <c r="E337" s="480"/>
      <c r="F337" s="186"/>
      <c r="G337" s="186"/>
      <c r="H337" s="186"/>
      <c r="I337" s="186"/>
      <c r="J337" s="186"/>
      <c r="L337" s="186"/>
      <c r="M337" s="186"/>
      <c r="N337" s="186"/>
      <c r="Q337" s="186"/>
      <c r="R337" s="186"/>
    </row>
    <row r="338" spans="4:18">
      <c r="D338" s="186"/>
      <c r="E338" s="480"/>
      <c r="F338" s="186"/>
      <c r="G338" s="186"/>
      <c r="H338" s="186"/>
      <c r="I338" s="186"/>
      <c r="J338" s="186"/>
      <c r="L338" s="186"/>
      <c r="M338" s="186"/>
      <c r="N338" s="186"/>
      <c r="Q338" s="186"/>
      <c r="R338" s="186"/>
    </row>
    <row r="339" spans="4:18">
      <c r="D339" s="186"/>
      <c r="E339" s="480"/>
      <c r="F339" s="186"/>
      <c r="G339" s="186"/>
      <c r="H339" s="186"/>
      <c r="I339" s="186"/>
      <c r="J339" s="186"/>
      <c r="L339" s="186"/>
      <c r="M339" s="186"/>
      <c r="N339" s="186"/>
      <c r="Q339" s="186"/>
      <c r="R339" s="186"/>
    </row>
    <row r="340" spans="4:18">
      <c r="D340" s="186"/>
      <c r="E340" s="480"/>
      <c r="F340" s="186"/>
      <c r="G340" s="186"/>
      <c r="H340" s="186"/>
      <c r="I340" s="186"/>
      <c r="J340" s="186"/>
      <c r="L340" s="186"/>
      <c r="M340" s="186"/>
      <c r="N340" s="186"/>
      <c r="Q340" s="186"/>
      <c r="R340" s="186"/>
    </row>
    <row r="341" spans="4:18">
      <c r="D341" s="186"/>
      <c r="E341" s="480"/>
      <c r="F341" s="186"/>
      <c r="G341" s="186"/>
      <c r="H341" s="186"/>
      <c r="I341" s="186"/>
      <c r="J341" s="186"/>
      <c r="L341" s="186"/>
      <c r="M341" s="186"/>
      <c r="N341" s="186"/>
      <c r="Q341" s="186"/>
      <c r="R341" s="186"/>
    </row>
    <row r="342" spans="4:18">
      <c r="D342" s="186"/>
      <c r="E342" s="480"/>
      <c r="F342" s="186"/>
      <c r="G342" s="186"/>
      <c r="H342" s="186"/>
      <c r="I342" s="186"/>
      <c r="J342" s="186"/>
      <c r="L342" s="186"/>
      <c r="M342" s="186"/>
      <c r="N342" s="186"/>
      <c r="Q342" s="186"/>
      <c r="R342" s="186"/>
    </row>
    <row r="343" spans="4:18">
      <c r="D343" s="186"/>
      <c r="E343" s="480"/>
      <c r="F343" s="186"/>
      <c r="G343" s="186"/>
      <c r="H343" s="186"/>
      <c r="I343" s="186"/>
      <c r="J343" s="186"/>
      <c r="L343" s="186"/>
      <c r="M343" s="186"/>
      <c r="N343" s="186"/>
      <c r="Q343" s="186"/>
      <c r="R343" s="186"/>
    </row>
    <row r="344" spans="4:18">
      <c r="D344" s="186"/>
      <c r="E344" s="480"/>
      <c r="F344" s="186"/>
      <c r="G344" s="186"/>
      <c r="H344" s="186"/>
      <c r="I344" s="186"/>
      <c r="J344" s="186"/>
      <c r="L344" s="186"/>
      <c r="M344" s="186"/>
      <c r="N344" s="186"/>
      <c r="Q344" s="186"/>
      <c r="R344" s="186"/>
    </row>
    <row r="345" spans="4:18">
      <c r="D345" s="186"/>
      <c r="E345" s="480"/>
      <c r="F345" s="186"/>
      <c r="G345" s="186"/>
      <c r="H345" s="186"/>
      <c r="I345" s="186"/>
      <c r="J345" s="186"/>
      <c r="L345" s="186"/>
      <c r="M345" s="186"/>
      <c r="N345" s="186"/>
      <c r="Q345" s="186"/>
      <c r="R345" s="186"/>
    </row>
    <row r="346" spans="4:18">
      <c r="D346" s="186"/>
      <c r="E346" s="480"/>
      <c r="F346" s="186"/>
      <c r="G346" s="186"/>
      <c r="H346" s="186"/>
      <c r="I346" s="186"/>
      <c r="J346" s="186"/>
      <c r="L346" s="186"/>
      <c r="M346" s="186"/>
      <c r="N346" s="186"/>
      <c r="Q346" s="186"/>
      <c r="R346" s="186"/>
    </row>
    <row r="347" spans="4:18">
      <c r="D347" s="186"/>
      <c r="E347" s="480"/>
      <c r="F347" s="186"/>
      <c r="G347" s="186"/>
      <c r="H347" s="186"/>
      <c r="I347" s="186"/>
      <c r="J347" s="186"/>
      <c r="L347" s="186"/>
      <c r="M347" s="186"/>
      <c r="N347" s="186"/>
      <c r="Q347" s="186"/>
      <c r="R347" s="186"/>
    </row>
    <row r="348" spans="4:18">
      <c r="D348" s="186"/>
      <c r="E348" s="480"/>
      <c r="F348" s="186"/>
      <c r="G348" s="186"/>
      <c r="H348" s="186"/>
      <c r="I348" s="186"/>
      <c r="J348" s="186"/>
      <c r="L348" s="186"/>
      <c r="M348" s="186"/>
      <c r="N348" s="186"/>
      <c r="Q348" s="186"/>
      <c r="R348" s="186"/>
    </row>
    <row r="349" spans="4:18">
      <c r="D349" s="186"/>
      <c r="E349" s="480"/>
      <c r="F349" s="186"/>
      <c r="G349" s="186"/>
      <c r="H349" s="186"/>
      <c r="I349" s="186"/>
      <c r="J349" s="186"/>
      <c r="L349" s="186"/>
      <c r="M349" s="186"/>
      <c r="N349" s="186"/>
      <c r="Q349" s="186"/>
      <c r="R349" s="186"/>
    </row>
    <row r="350" spans="4:18">
      <c r="D350" s="186"/>
      <c r="E350" s="480"/>
      <c r="F350" s="186"/>
      <c r="G350" s="186"/>
      <c r="H350" s="186"/>
      <c r="I350" s="186"/>
      <c r="J350" s="186"/>
      <c r="L350" s="186"/>
      <c r="M350" s="186"/>
      <c r="N350" s="186"/>
      <c r="Q350" s="186"/>
      <c r="R350" s="186"/>
    </row>
    <row r="351" spans="4:18">
      <c r="D351" s="186"/>
      <c r="E351" s="480"/>
      <c r="F351" s="186"/>
      <c r="G351" s="186"/>
      <c r="H351" s="186"/>
      <c r="I351" s="186"/>
      <c r="J351" s="186"/>
      <c r="L351" s="186"/>
      <c r="M351" s="186"/>
      <c r="N351" s="186"/>
      <c r="Q351" s="186"/>
      <c r="R351" s="186"/>
    </row>
    <row r="352" spans="4:18">
      <c r="D352" s="186"/>
      <c r="E352" s="480"/>
      <c r="F352" s="186"/>
      <c r="G352" s="186"/>
      <c r="H352" s="186"/>
      <c r="I352" s="186"/>
      <c r="J352" s="186"/>
      <c r="L352" s="186"/>
      <c r="M352" s="186"/>
      <c r="N352" s="186"/>
      <c r="Q352" s="186"/>
      <c r="R352" s="186"/>
    </row>
    <row r="353" spans="4:18">
      <c r="D353" s="186"/>
      <c r="E353" s="480"/>
      <c r="F353" s="186"/>
      <c r="G353" s="186"/>
      <c r="H353" s="186"/>
      <c r="I353" s="186"/>
      <c r="J353" s="186"/>
      <c r="L353" s="186"/>
      <c r="M353" s="186"/>
      <c r="N353" s="186"/>
      <c r="Q353" s="186"/>
      <c r="R353" s="186"/>
    </row>
    <row r="354" spans="4:18">
      <c r="D354" s="186"/>
      <c r="E354" s="480"/>
      <c r="F354" s="186"/>
      <c r="G354" s="186"/>
      <c r="H354" s="186"/>
      <c r="I354" s="186"/>
      <c r="J354" s="186"/>
      <c r="L354" s="186"/>
      <c r="M354" s="186"/>
      <c r="N354" s="186"/>
      <c r="Q354" s="186"/>
      <c r="R354" s="186"/>
    </row>
    <row r="355" spans="4:18">
      <c r="D355" s="186"/>
      <c r="E355" s="480"/>
      <c r="F355" s="186"/>
      <c r="G355" s="186"/>
      <c r="H355" s="186"/>
      <c r="I355" s="186"/>
      <c r="J355" s="186"/>
      <c r="L355" s="186"/>
      <c r="M355" s="186"/>
      <c r="N355" s="186"/>
      <c r="Q355" s="186"/>
      <c r="R355" s="186"/>
    </row>
    <row r="356" spans="4:18">
      <c r="D356" s="186"/>
      <c r="E356" s="480"/>
      <c r="F356" s="186"/>
      <c r="G356" s="186"/>
      <c r="H356" s="186"/>
      <c r="I356" s="186"/>
      <c r="J356" s="186"/>
      <c r="L356" s="186"/>
      <c r="M356" s="186"/>
      <c r="N356" s="186"/>
      <c r="Q356" s="186"/>
      <c r="R356" s="186"/>
    </row>
    <row r="357" spans="4:18">
      <c r="D357" s="186"/>
      <c r="E357" s="480"/>
      <c r="F357" s="186"/>
      <c r="G357" s="186"/>
      <c r="H357" s="186"/>
      <c r="I357" s="186"/>
      <c r="J357" s="186"/>
      <c r="L357" s="186"/>
      <c r="M357" s="186"/>
      <c r="N357" s="186"/>
      <c r="Q357" s="186"/>
      <c r="R357" s="186"/>
    </row>
    <row r="358" spans="4:18">
      <c r="D358" s="186"/>
      <c r="E358" s="480"/>
      <c r="F358" s="186"/>
      <c r="G358" s="186"/>
      <c r="H358" s="186"/>
      <c r="I358" s="186"/>
      <c r="J358" s="186"/>
      <c r="L358" s="186"/>
      <c r="M358" s="186"/>
      <c r="N358" s="186"/>
      <c r="Q358" s="186"/>
      <c r="R358" s="186"/>
    </row>
    <row r="359" spans="4:18">
      <c r="D359" s="186"/>
      <c r="E359" s="480"/>
      <c r="F359" s="186"/>
      <c r="G359" s="186"/>
      <c r="H359" s="186"/>
      <c r="I359" s="186"/>
      <c r="J359" s="186"/>
      <c r="L359" s="186"/>
      <c r="M359" s="186"/>
      <c r="N359" s="186"/>
      <c r="Q359" s="186"/>
      <c r="R359" s="186"/>
    </row>
    <row r="360" spans="4:18">
      <c r="D360" s="186"/>
      <c r="E360" s="480"/>
      <c r="F360" s="186"/>
      <c r="G360" s="186"/>
      <c r="H360" s="186"/>
      <c r="I360" s="186"/>
      <c r="J360" s="186"/>
      <c r="L360" s="186"/>
      <c r="M360" s="186"/>
      <c r="N360" s="186"/>
      <c r="Q360" s="186"/>
      <c r="R360" s="186"/>
    </row>
    <row r="361" spans="4:18">
      <c r="D361" s="186"/>
      <c r="E361" s="480"/>
      <c r="F361" s="186"/>
      <c r="G361" s="186"/>
      <c r="H361" s="186"/>
      <c r="I361" s="186"/>
      <c r="J361" s="186"/>
      <c r="L361" s="186"/>
      <c r="M361" s="186"/>
      <c r="N361" s="186"/>
      <c r="Q361" s="186"/>
      <c r="R361" s="186"/>
    </row>
    <row r="362" spans="4:18">
      <c r="D362" s="186"/>
      <c r="E362" s="480"/>
      <c r="F362" s="186"/>
      <c r="G362" s="186"/>
      <c r="H362" s="186"/>
      <c r="I362" s="186"/>
      <c r="J362" s="186"/>
      <c r="L362" s="186"/>
      <c r="M362" s="186"/>
      <c r="N362" s="186"/>
      <c r="Q362" s="186"/>
      <c r="R362" s="186"/>
    </row>
    <row r="363" spans="4:18">
      <c r="D363" s="186"/>
      <c r="E363" s="480"/>
      <c r="F363" s="186"/>
      <c r="G363" s="186"/>
      <c r="H363" s="186"/>
      <c r="I363" s="186"/>
      <c r="J363" s="186"/>
      <c r="L363" s="186"/>
      <c r="M363" s="186"/>
      <c r="N363" s="186"/>
      <c r="Q363" s="186"/>
      <c r="R363" s="186"/>
    </row>
    <row r="364" spans="4:18">
      <c r="D364" s="186"/>
      <c r="E364" s="480"/>
      <c r="F364" s="186"/>
      <c r="G364" s="186"/>
      <c r="H364" s="186"/>
      <c r="I364" s="186"/>
      <c r="J364" s="186"/>
      <c r="L364" s="186"/>
      <c r="M364" s="186"/>
      <c r="N364" s="186"/>
      <c r="Q364" s="186"/>
      <c r="R364" s="186"/>
    </row>
    <row r="365" spans="4:18">
      <c r="D365" s="186"/>
      <c r="E365" s="480"/>
      <c r="F365" s="186"/>
      <c r="G365" s="186"/>
      <c r="H365" s="186"/>
      <c r="I365" s="186"/>
      <c r="J365" s="186"/>
      <c r="L365" s="186"/>
      <c r="M365" s="186"/>
      <c r="N365" s="186"/>
      <c r="Q365" s="186"/>
      <c r="R365" s="186"/>
    </row>
    <row r="366" spans="4:18">
      <c r="D366" s="186"/>
      <c r="E366" s="480"/>
      <c r="F366" s="186"/>
      <c r="G366" s="186"/>
      <c r="H366" s="186"/>
      <c r="I366" s="186"/>
      <c r="J366" s="186"/>
      <c r="L366" s="186"/>
      <c r="M366" s="186"/>
      <c r="N366" s="186"/>
      <c r="Q366" s="186"/>
      <c r="R366" s="186"/>
    </row>
    <row r="367" spans="4:18">
      <c r="D367" s="186"/>
      <c r="E367" s="480"/>
      <c r="F367" s="186"/>
      <c r="G367" s="186"/>
      <c r="H367" s="186"/>
      <c r="I367" s="186"/>
      <c r="J367" s="186"/>
      <c r="L367" s="186"/>
      <c r="M367" s="186"/>
      <c r="N367" s="186"/>
      <c r="Q367" s="186"/>
      <c r="R367" s="186"/>
    </row>
    <row r="368" spans="4:18">
      <c r="D368" s="186"/>
      <c r="E368" s="480"/>
      <c r="F368" s="186"/>
      <c r="G368" s="186"/>
      <c r="H368" s="186"/>
      <c r="I368" s="186"/>
      <c r="J368" s="186"/>
      <c r="L368" s="186"/>
      <c r="M368" s="186"/>
      <c r="N368" s="186"/>
      <c r="Q368" s="186"/>
      <c r="R368" s="186"/>
    </row>
    <row r="369" spans="4:18">
      <c r="D369" s="186"/>
      <c r="E369" s="480"/>
      <c r="F369" s="186"/>
      <c r="G369" s="186"/>
      <c r="H369" s="186"/>
      <c r="I369" s="186"/>
      <c r="J369" s="186"/>
      <c r="L369" s="186"/>
      <c r="M369" s="186"/>
      <c r="N369" s="186"/>
      <c r="Q369" s="186"/>
      <c r="R369" s="186"/>
    </row>
    <row r="370" spans="4:18">
      <c r="D370" s="186"/>
      <c r="E370" s="480"/>
      <c r="F370" s="186"/>
      <c r="G370" s="186"/>
      <c r="H370" s="186"/>
      <c r="I370" s="186"/>
      <c r="J370" s="186"/>
      <c r="L370" s="186"/>
      <c r="M370" s="186"/>
      <c r="N370" s="186"/>
      <c r="Q370" s="186"/>
      <c r="R370" s="186"/>
    </row>
    <row r="371" spans="4:18">
      <c r="D371" s="186"/>
      <c r="E371" s="480"/>
      <c r="F371" s="186"/>
      <c r="G371" s="186"/>
      <c r="H371" s="186"/>
      <c r="I371" s="186"/>
      <c r="J371" s="186"/>
      <c r="L371" s="186"/>
      <c r="M371" s="186"/>
      <c r="N371" s="186"/>
      <c r="Q371" s="186"/>
      <c r="R371" s="186"/>
    </row>
    <row r="372" spans="4:18">
      <c r="D372" s="186"/>
      <c r="E372" s="480"/>
      <c r="F372" s="186"/>
      <c r="G372" s="186"/>
      <c r="H372" s="186"/>
      <c r="I372" s="186"/>
      <c r="J372" s="186"/>
      <c r="L372" s="186"/>
      <c r="M372" s="186"/>
      <c r="N372" s="186"/>
      <c r="Q372" s="186"/>
      <c r="R372" s="186"/>
    </row>
    <row r="373" spans="4:18">
      <c r="D373" s="186"/>
      <c r="E373" s="480"/>
      <c r="F373" s="186"/>
      <c r="G373" s="186"/>
      <c r="H373" s="186"/>
      <c r="I373" s="186"/>
      <c r="J373" s="186"/>
      <c r="L373" s="186"/>
      <c r="M373" s="186"/>
      <c r="N373" s="186"/>
      <c r="Q373" s="186"/>
      <c r="R373" s="186"/>
    </row>
    <row r="374" spans="4:18">
      <c r="D374" s="186"/>
      <c r="E374" s="480"/>
      <c r="F374" s="186"/>
      <c r="G374" s="186"/>
      <c r="H374" s="186"/>
      <c r="I374" s="186"/>
      <c r="J374" s="186"/>
      <c r="L374" s="186"/>
      <c r="M374" s="186"/>
      <c r="N374" s="186"/>
      <c r="Q374" s="186"/>
      <c r="R374" s="186"/>
    </row>
    <row r="375" spans="4:18">
      <c r="D375" s="186"/>
      <c r="E375" s="480"/>
      <c r="F375" s="186"/>
      <c r="G375" s="186"/>
      <c r="H375" s="186"/>
      <c r="I375" s="186"/>
      <c r="J375" s="186"/>
      <c r="L375" s="186"/>
      <c r="M375" s="186"/>
      <c r="N375" s="186"/>
      <c r="Q375" s="186"/>
      <c r="R375" s="186"/>
    </row>
    <row r="376" spans="4:18">
      <c r="D376" s="186"/>
      <c r="E376" s="480"/>
      <c r="F376" s="186"/>
      <c r="G376" s="186"/>
      <c r="H376" s="186"/>
      <c r="I376" s="186"/>
      <c r="J376" s="186"/>
      <c r="L376" s="186"/>
      <c r="M376" s="186"/>
      <c r="N376" s="186"/>
      <c r="Q376" s="186"/>
      <c r="R376" s="186"/>
    </row>
    <row r="377" spans="4:18">
      <c r="D377" s="186"/>
      <c r="E377" s="480"/>
      <c r="F377" s="186"/>
      <c r="G377" s="186"/>
      <c r="H377" s="186"/>
      <c r="I377" s="186"/>
      <c r="J377" s="186"/>
      <c r="L377" s="186"/>
      <c r="M377" s="186"/>
      <c r="N377" s="186"/>
      <c r="Q377" s="186"/>
      <c r="R377" s="186"/>
    </row>
    <row r="378" spans="4:18">
      <c r="D378" s="186"/>
      <c r="E378" s="480"/>
      <c r="F378" s="186"/>
      <c r="G378" s="186"/>
      <c r="H378" s="186"/>
      <c r="I378" s="186"/>
      <c r="J378" s="186"/>
      <c r="L378" s="186"/>
      <c r="M378" s="186"/>
      <c r="N378" s="186"/>
      <c r="Q378" s="186"/>
      <c r="R378" s="186"/>
    </row>
    <row r="379" spans="4:18">
      <c r="D379" s="186"/>
      <c r="E379" s="480"/>
      <c r="F379" s="186"/>
      <c r="G379" s="186"/>
      <c r="H379" s="186"/>
      <c r="I379" s="186"/>
      <c r="J379" s="186"/>
      <c r="L379" s="186"/>
      <c r="M379" s="186"/>
      <c r="N379" s="186"/>
      <c r="Q379" s="186"/>
      <c r="R379" s="186"/>
    </row>
    <row r="380" spans="4:18">
      <c r="D380" s="186"/>
      <c r="E380" s="480"/>
      <c r="F380" s="186"/>
      <c r="G380" s="186"/>
      <c r="H380" s="186"/>
      <c r="I380" s="186"/>
      <c r="J380" s="186"/>
      <c r="L380" s="186"/>
      <c r="M380" s="186"/>
      <c r="N380" s="186"/>
      <c r="Q380" s="186"/>
      <c r="R380" s="186"/>
    </row>
    <row r="381" spans="4:18">
      <c r="D381" s="186"/>
      <c r="E381" s="480"/>
      <c r="F381" s="186"/>
      <c r="G381" s="186"/>
      <c r="H381" s="186"/>
      <c r="I381" s="186"/>
      <c r="J381" s="186"/>
      <c r="L381" s="186"/>
      <c r="M381" s="186"/>
      <c r="N381" s="186"/>
      <c r="Q381" s="186"/>
      <c r="R381" s="186"/>
    </row>
    <row r="382" spans="4:18">
      <c r="D382" s="186"/>
      <c r="E382" s="480"/>
      <c r="F382" s="186"/>
      <c r="G382" s="186"/>
      <c r="H382" s="186"/>
      <c r="I382" s="186"/>
      <c r="J382" s="186"/>
      <c r="L382" s="186"/>
      <c r="M382" s="186"/>
      <c r="N382" s="186"/>
      <c r="Q382" s="186"/>
      <c r="R382" s="186"/>
    </row>
    <row r="383" spans="4:18">
      <c r="D383" s="186"/>
      <c r="E383" s="480"/>
      <c r="F383" s="186"/>
      <c r="G383" s="186"/>
      <c r="H383" s="186"/>
      <c r="I383" s="186"/>
      <c r="J383" s="186"/>
      <c r="L383" s="186"/>
      <c r="M383" s="186"/>
      <c r="N383" s="186"/>
      <c r="Q383" s="186"/>
      <c r="R383" s="186"/>
    </row>
    <row r="384" spans="4:18">
      <c r="D384" s="186"/>
      <c r="E384" s="480"/>
      <c r="F384" s="186"/>
      <c r="G384" s="186"/>
      <c r="H384" s="186"/>
      <c r="I384" s="186"/>
      <c r="J384" s="186"/>
      <c r="L384" s="186"/>
      <c r="M384" s="186"/>
      <c r="N384" s="186"/>
      <c r="Q384" s="186"/>
      <c r="R384" s="186"/>
    </row>
    <row r="385" spans="4:18">
      <c r="D385" s="186"/>
      <c r="E385" s="480"/>
      <c r="F385" s="186"/>
      <c r="G385" s="186"/>
      <c r="H385" s="186"/>
      <c r="I385" s="186"/>
      <c r="J385" s="186"/>
      <c r="L385" s="186"/>
      <c r="M385" s="186"/>
      <c r="N385" s="186"/>
      <c r="Q385" s="186"/>
      <c r="R385" s="186"/>
    </row>
    <row r="386" spans="4:18">
      <c r="D386" s="186"/>
      <c r="E386" s="480"/>
      <c r="F386" s="186"/>
      <c r="G386" s="186"/>
      <c r="H386" s="186"/>
      <c r="I386" s="186"/>
      <c r="J386" s="186"/>
      <c r="L386" s="186"/>
      <c r="M386" s="186"/>
      <c r="N386" s="186"/>
      <c r="Q386" s="186"/>
      <c r="R386" s="186"/>
    </row>
    <row r="387" spans="4:18">
      <c r="D387" s="186"/>
      <c r="E387" s="480"/>
      <c r="F387" s="186"/>
      <c r="G387" s="186"/>
      <c r="H387" s="186"/>
      <c r="I387" s="186"/>
      <c r="J387" s="186"/>
      <c r="L387" s="186"/>
      <c r="M387" s="186"/>
      <c r="N387" s="186"/>
      <c r="Q387" s="186"/>
      <c r="R387" s="186"/>
    </row>
    <row r="388" spans="4:18">
      <c r="D388" s="186"/>
      <c r="E388" s="480"/>
      <c r="F388" s="186"/>
      <c r="G388" s="186"/>
      <c r="H388" s="186"/>
      <c r="I388" s="186"/>
      <c r="J388" s="186"/>
      <c r="L388" s="186"/>
      <c r="M388" s="186"/>
      <c r="N388" s="186"/>
      <c r="Q388" s="186"/>
      <c r="R388" s="186"/>
    </row>
    <row r="389" spans="4:18">
      <c r="D389" s="186"/>
      <c r="E389" s="480"/>
      <c r="F389" s="186"/>
      <c r="G389" s="186"/>
      <c r="H389" s="186"/>
      <c r="I389" s="186"/>
      <c r="J389" s="186"/>
      <c r="L389" s="186"/>
      <c r="M389" s="186"/>
      <c r="N389" s="186"/>
      <c r="Q389" s="186"/>
      <c r="R389" s="186"/>
    </row>
    <row r="390" spans="4:18">
      <c r="D390" s="186"/>
      <c r="E390" s="480"/>
      <c r="F390" s="186"/>
      <c r="G390" s="186"/>
      <c r="H390" s="186"/>
      <c r="I390" s="186"/>
      <c r="J390" s="186"/>
      <c r="L390" s="186"/>
      <c r="M390" s="186"/>
      <c r="N390" s="186"/>
      <c r="Q390" s="186"/>
      <c r="R390" s="186"/>
    </row>
    <row r="391" spans="4:18">
      <c r="D391" s="186"/>
      <c r="E391" s="480"/>
      <c r="F391" s="186"/>
      <c r="G391" s="186"/>
      <c r="H391" s="186"/>
      <c r="I391" s="186"/>
      <c r="J391" s="186"/>
      <c r="L391" s="186"/>
      <c r="M391" s="186"/>
      <c r="N391" s="186"/>
      <c r="Q391" s="186"/>
      <c r="R391" s="186"/>
    </row>
    <row r="392" spans="4:18">
      <c r="D392" s="186"/>
      <c r="E392" s="480"/>
      <c r="F392" s="186"/>
      <c r="G392" s="186"/>
      <c r="H392" s="186"/>
      <c r="I392" s="186"/>
      <c r="J392" s="186"/>
      <c r="L392" s="186"/>
      <c r="M392" s="186"/>
      <c r="N392" s="186"/>
      <c r="Q392" s="186"/>
      <c r="R392" s="186"/>
    </row>
    <row r="393" spans="4:18">
      <c r="D393" s="186"/>
      <c r="E393" s="480"/>
      <c r="F393" s="186"/>
      <c r="G393" s="186"/>
      <c r="H393" s="186"/>
      <c r="I393" s="186"/>
      <c r="J393" s="186"/>
      <c r="L393" s="186"/>
      <c r="M393" s="186"/>
      <c r="N393" s="186"/>
      <c r="Q393" s="186"/>
      <c r="R393" s="186"/>
    </row>
    <row r="394" spans="4:18">
      <c r="D394" s="186"/>
      <c r="E394" s="480"/>
      <c r="F394" s="186"/>
      <c r="G394" s="186"/>
      <c r="H394" s="186"/>
      <c r="I394" s="186"/>
      <c r="J394" s="186"/>
      <c r="L394" s="186"/>
      <c r="M394" s="186"/>
      <c r="N394" s="186"/>
      <c r="Q394" s="186"/>
      <c r="R394" s="186"/>
    </row>
    <row r="395" spans="4:18">
      <c r="D395" s="186"/>
      <c r="E395" s="480"/>
      <c r="F395" s="186"/>
      <c r="G395" s="186"/>
      <c r="H395" s="186"/>
      <c r="I395" s="186"/>
      <c r="J395" s="186"/>
      <c r="L395" s="186"/>
      <c r="M395" s="186"/>
      <c r="N395" s="186"/>
      <c r="Q395" s="186"/>
      <c r="R395" s="186"/>
    </row>
    <row r="396" spans="4:18">
      <c r="D396" s="186"/>
      <c r="E396" s="480"/>
      <c r="F396" s="186"/>
      <c r="G396" s="186"/>
      <c r="H396" s="186"/>
      <c r="I396" s="186"/>
      <c r="J396" s="186"/>
      <c r="L396" s="186"/>
      <c r="M396" s="186"/>
      <c r="N396" s="186"/>
      <c r="Q396" s="186"/>
      <c r="R396" s="186"/>
    </row>
    <row r="397" spans="4:18">
      <c r="D397" s="186"/>
      <c r="E397" s="480"/>
      <c r="F397" s="186"/>
      <c r="G397" s="186"/>
      <c r="H397" s="186"/>
      <c r="I397" s="186"/>
      <c r="J397" s="186"/>
      <c r="L397" s="186"/>
      <c r="M397" s="186"/>
      <c r="N397" s="186"/>
      <c r="Q397" s="186"/>
      <c r="R397" s="186"/>
    </row>
    <row r="398" spans="4:18">
      <c r="D398" s="186"/>
      <c r="E398" s="480"/>
      <c r="F398" s="186"/>
      <c r="G398" s="186"/>
      <c r="H398" s="186"/>
      <c r="I398" s="186"/>
      <c r="J398" s="186"/>
      <c r="L398" s="186"/>
      <c r="M398" s="186"/>
      <c r="N398" s="186"/>
      <c r="Q398" s="186"/>
      <c r="R398" s="186"/>
    </row>
    <row r="399" spans="4:18">
      <c r="D399" s="186"/>
      <c r="E399" s="480"/>
      <c r="F399" s="186"/>
      <c r="G399" s="186"/>
      <c r="H399" s="186"/>
      <c r="I399" s="186"/>
      <c r="J399" s="186"/>
      <c r="L399" s="186"/>
      <c r="M399" s="186"/>
      <c r="N399" s="186"/>
      <c r="Q399" s="186"/>
      <c r="R399" s="186"/>
    </row>
    <row r="400" spans="4:18">
      <c r="D400" s="186"/>
      <c r="E400" s="480"/>
      <c r="F400" s="186"/>
      <c r="G400" s="186"/>
      <c r="H400" s="186"/>
      <c r="I400" s="186"/>
      <c r="J400" s="186"/>
      <c r="L400" s="186"/>
      <c r="M400" s="186"/>
      <c r="N400" s="186"/>
      <c r="Q400" s="186"/>
      <c r="R400" s="186"/>
    </row>
    <row r="401" spans="4:18">
      <c r="D401" s="186"/>
      <c r="E401" s="480"/>
      <c r="F401" s="186"/>
      <c r="G401" s="186"/>
      <c r="H401" s="186"/>
      <c r="I401" s="186"/>
      <c r="J401" s="186"/>
      <c r="L401" s="186"/>
      <c r="M401" s="186"/>
      <c r="N401" s="186"/>
      <c r="Q401" s="186"/>
      <c r="R401" s="186"/>
    </row>
    <row r="402" spans="4:18">
      <c r="D402" s="186"/>
      <c r="E402" s="480"/>
      <c r="F402" s="186"/>
      <c r="G402" s="186"/>
      <c r="H402" s="186"/>
      <c r="I402" s="186"/>
      <c r="J402" s="186"/>
      <c r="L402" s="186"/>
      <c r="M402" s="186"/>
      <c r="N402" s="186"/>
      <c r="Q402" s="186"/>
      <c r="R402" s="186"/>
    </row>
    <row r="403" spans="4:18">
      <c r="D403" s="186"/>
      <c r="E403" s="480"/>
      <c r="F403" s="186"/>
      <c r="G403" s="186"/>
      <c r="H403" s="186"/>
      <c r="I403" s="186"/>
      <c r="J403" s="186"/>
      <c r="L403" s="186"/>
      <c r="M403" s="186"/>
      <c r="N403" s="186"/>
      <c r="Q403" s="186"/>
      <c r="R403" s="186"/>
    </row>
    <row r="404" spans="4:18">
      <c r="D404" s="186"/>
      <c r="E404" s="480"/>
      <c r="F404" s="186"/>
      <c r="G404" s="186"/>
      <c r="H404" s="186"/>
      <c r="I404" s="186"/>
      <c r="J404" s="186"/>
      <c r="L404" s="186"/>
      <c r="M404" s="186"/>
      <c r="N404" s="186"/>
      <c r="Q404" s="186"/>
      <c r="R404" s="186"/>
    </row>
    <row r="405" spans="4:18">
      <c r="D405" s="186"/>
      <c r="E405" s="480"/>
      <c r="F405" s="186"/>
      <c r="G405" s="186"/>
      <c r="H405" s="186"/>
      <c r="I405" s="186"/>
      <c r="J405" s="186"/>
      <c r="L405" s="186"/>
      <c r="M405" s="186"/>
      <c r="N405" s="186"/>
      <c r="Q405" s="186"/>
      <c r="R405" s="186"/>
    </row>
    <row r="406" spans="4:18">
      <c r="D406" s="186"/>
      <c r="E406" s="480"/>
      <c r="F406" s="186"/>
      <c r="G406" s="186"/>
      <c r="H406" s="186"/>
      <c r="I406" s="186"/>
      <c r="J406" s="186"/>
      <c r="L406" s="186"/>
      <c r="M406" s="186"/>
      <c r="N406" s="186"/>
      <c r="Q406" s="186"/>
      <c r="R406" s="186"/>
    </row>
    <row r="407" spans="4:18">
      <c r="D407" s="186"/>
      <c r="E407" s="480"/>
      <c r="F407" s="186"/>
      <c r="G407" s="186"/>
      <c r="H407" s="186"/>
      <c r="I407" s="186"/>
      <c r="J407" s="186"/>
      <c r="L407" s="186"/>
      <c r="M407" s="186"/>
      <c r="N407" s="186"/>
      <c r="Q407" s="186"/>
      <c r="R407" s="186"/>
    </row>
    <row r="408" spans="4:18">
      <c r="D408" s="186"/>
      <c r="E408" s="480"/>
      <c r="F408" s="186"/>
      <c r="G408" s="186"/>
      <c r="H408" s="186"/>
      <c r="I408" s="186"/>
      <c r="J408" s="186"/>
      <c r="L408" s="186"/>
      <c r="M408" s="186"/>
      <c r="N408" s="186"/>
      <c r="Q408" s="186"/>
      <c r="R408" s="186"/>
    </row>
    <row r="409" spans="4:18">
      <c r="D409" s="186"/>
      <c r="E409" s="480"/>
      <c r="F409" s="186"/>
      <c r="G409" s="186"/>
      <c r="H409" s="186"/>
      <c r="I409" s="186"/>
      <c r="J409" s="186"/>
      <c r="L409" s="186"/>
      <c r="M409" s="186"/>
      <c r="N409" s="186"/>
      <c r="Q409" s="186"/>
      <c r="R409" s="186"/>
    </row>
    <row r="410" spans="4:18">
      <c r="D410" s="186"/>
      <c r="E410" s="480"/>
      <c r="F410" s="186"/>
      <c r="G410" s="186"/>
      <c r="H410" s="186"/>
      <c r="I410" s="186"/>
      <c r="J410" s="186"/>
      <c r="L410" s="186"/>
      <c r="M410" s="186"/>
      <c r="N410" s="186"/>
      <c r="Q410" s="186"/>
      <c r="R410" s="186"/>
    </row>
    <row r="411" spans="4:18">
      <c r="D411" s="186"/>
      <c r="E411" s="480"/>
      <c r="F411" s="186"/>
      <c r="G411" s="186"/>
      <c r="H411" s="186"/>
      <c r="I411" s="186"/>
      <c r="J411" s="186"/>
      <c r="L411" s="186"/>
      <c r="M411" s="186"/>
      <c r="N411" s="186"/>
      <c r="Q411" s="186"/>
      <c r="R411" s="186"/>
    </row>
    <row r="412" spans="4:18">
      <c r="D412" s="186"/>
      <c r="E412" s="480"/>
      <c r="F412" s="186"/>
      <c r="G412" s="186"/>
      <c r="H412" s="186"/>
      <c r="I412" s="186"/>
      <c r="J412" s="186"/>
      <c r="L412" s="186"/>
      <c r="M412" s="186"/>
      <c r="N412" s="186"/>
      <c r="Q412" s="186"/>
      <c r="R412" s="186"/>
    </row>
    <row r="413" spans="4:18">
      <c r="D413" s="186"/>
      <c r="E413" s="480"/>
      <c r="F413" s="186"/>
      <c r="G413" s="186"/>
      <c r="H413" s="186"/>
      <c r="I413" s="186"/>
      <c r="J413" s="186"/>
      <c r="L413" s="186"/>
      <c r="M413" s="186"/>
      <c r="N413" s="186"/>
      <c r="Q413" s="186"/>
      <c r="R413" s="186"/>
    </row>
    <row r="414" spans="4:18">
      <c r="D414" s="186"/>
      <c r="E414" s="480"/>
      <c r="F414" s="186"/>
      <c r="G414" s="186"/>
      <c r="H414" s="186"/>
      <c r="I414" s="186"/>
      <c r="J414" s="186"/>
      <c r="L414" s="186"/>
      <c r="M414" s="186"/>
      <c r="N414" s="186"/>
      <c r="Q414" s="186"/>
      <c r="R414" s="186"/>
    </row>
    <row r="415" spans="4:18">
      <c r="D415" s="186"/>
      <c r="E415" s="480"/>
      <c r="F415" s="186"/>
      <c r="G415" s="186"/>
      <c r="H415" s="186"/>
      <c r="I415" s="186"/>
      <c r="J415" s="186"/>
      <c r="L415" s="186"/>
      <c r="M415" s="186"/>
      <c r="N415" s="186"/>
      <c r="Q415" s="186"/>
      <c r="R415" s="186"/>
    </row>
    <row r="416" spans="4:18">
      <c r="D416" s="186"/>
      <c r="E416" s="480"/>
      <c r="F416" s="186"/>
      <c r="G416" s="186"/>
      <c r="H416" s="186"/>
      <c r="I416" s="186"/>
      <c r="J416" s="186"/>
      <c r="L416" s="186"/>
      <c r="M416" s="186"/>
      <c r="N416" s="186"/>
      <c r="Q416" s="186"/>
      <c r="R416" s="186"/>
    </row>
    <row r="417" spans="4:18">
      <c r="D417" s="186"/>
      <c r="E417" s="480"/>
      <c r="F417" s="186"/>
      <c r="G417" s="186"/>
      <c r="H417" s="186"/>
      <c r="I417" s="186"/>
      <c r="J417" s="186"/>
      <c r="L417" s="186"/>
      <c r="M417" s="186"/>
      <c r="N417" s="186"/>
      <c r="Q417" s="186"/>
      <c r="R417" s="186"/>
    </row>
    <row r="418" spans="4:18">
      <c r="D418" s="186"/>
      <c r="E418" s="480"/>
      <c r="F418" s="186"/>
      <c r="G418" s="186"/>
      <c r="H418" s="186"/>
      <c r="I418" s="186"/>
      <c r="J418" s="186"/>
      <c r="L418" s="186"/>
      <c r="M418" s="186"/>
      <c r="N418" s="186"/>
      <c r="Q418" s="186"/>
      <c r="R418" s="186"/>
    </row>
    <row r="419" spans="4:18">
      <c r="D419" s="186"/>
      <c r="E419" s="480"/>
      <c r="F419" s="186"/>
      <c r="G419" s="186"/>
      <c r="H419" s="186"/>
      <c r="I419" s="186"/>
      <c r="J419" s="186"/>
      <c r="L419" s="186"/>
      <c r="M419" s="186"/>
      <c r="N419" s="186"/>
      <c r="Q419" s="186"/>
      <c r="R419" s="186"/>
    </row>
    <row r="420" spans="4:18">
      <c r="D420" s="186"/>
      <c r="E420" s="480"/>
      <c r="F420" s="186"/>
      <c r="G420" s="186"/>
      <c r="H420" s="186"/>
      <c r="I420" s="186"/>
      <c r="J420" s="186"/>
      <c r="L420" s="186"/>
      <c r="M420" s="186"/>
      <c r="N420" s="186"/>
      <c r="Q420" s="186"/>
      <c r="R420" s="186"/>
    </row>
    <row r="421" spans="4:18">
      <c r="D421" s="186"/>
      <c r="E421" s="480"/>
      <c r="F421" s="186"/>
      <c r="G421" s="186"/>
      <c r="H421" s="186"/>
      <c r="I421" s="186"/>
      <c r="J421" s="186"/>
      <c r="L421" s="186"/>
      <c r="M421" s="186"/>
      <c r="N421" s="186"/>
      <c r="Q421" s="186"/>
      <c r="R421" s="186"/>
    </row>
    <row r="422" spans="4:18">
      <c r="D422" s="186"/>
      <c r="E422" s="480"/>
      <c r="F422" s="186"/>
      <c r="G422" s="186"/>
      <c r="H422" s="186"/>
      <c r="I422" s="186"/>
      <c r="J422" s="186"/>
      <c r="L422" s="186"/>
      <c r="M422" s="186"/>
      <c r="N422" s="186"/>
      <c r="Q422" s="186"/>
      <c r="R422" s="186"/>
    </row>
    <row r="423" spans="4:18">
      <c r="D423" s="186"/>
      <c r="E423" s="480"/>
      <c r="F423" s="186"/>
      <c r="G423" s="186"/>
      <c r="H423" s="186"/>
      <c r="I423" s="186"/>
      <c r="J423" s="186"/>
      <c r="L423" s="186"/>
      <c r="M423" s="186"/>
      <c r="N423" s="186"/>
      <c r="Q423" s="186"/>
      <c r="R423" s="186"/>
    </row>
    <row r="424" spans="4:18">
      <c r="D424" s="186"/>
      <c r="E424" s="480"/>
      <c r="F424" s="186"/>
      <c r="G424" s="186"/>
      <c r="H424" s="186"/>
      <c r="I424" s="186"/>
      <c r="J424" s="186"/>
      <c r="L424" s="186"/>
      <c r="M424" s="186"/>
      <c r="N424" s="186"/>
      <c r="Q424" s="186"/>
      <c r="R424" s="186"/>
    </row>
    <row r="425" spans="4:18">
      <c r="D425" s="186"/>
      <c r="E425" s="480"/>
      <c r="F425" s="186"/>
      <c r="G425" s="186"/>
      <c r="H425" s="186"/>
      <c r="I425" s="186"/>
      <c r="J425" s="186"/>
      <c r="L425" s="186"/>
      <c r="M425" s="186"/>
      <c r="N425" s="186"/>
      <c r="Q425" s="186"/>
      <c r="R425" s="186"/>
    </row>
    <row r="426" spans="4:18">
      <c r="D426" s="186"/>
      <c r="E426" s="480"/>
      <c r="F426" s="186"/>
      <c r="G426" s="186"/>
      <c r="H426" s="186"/>
      <c r="I426" s="186"/>
      <c r="J426" s="186"/>
      <c r="L426" s="186"/>
      <c r="M426" s="186"/>
      <c r="N426" s="186"/>
      <c r="Q426" s="186"/>
      <c r="R426" s="186"/>
    </row>
    <row r="427" spans="4:18">
      <c r="D427" s="186"/>
      <c r="E427" s="480"/>
      <c r="F427" s="186"/>
      <c r="G427" s="186"/>
      <c r="H427" s="186"/>
      <c r="I427" s="186"/>
      <c r="J427" s="186"/>
      <c r="L427" s="186"/>
      <c r="M427" s="186"/>
      <c r="N427" s="186"/>
      <c r="Q427" s="186"/>
      <c r="R427" s="186"/>
    </row>
    <row r="428" spans="4:18">
      <c r="D428" s="186"/>
      <c r="E428" s="480"/>
      <c r="F428" s="186"/>
      <c r="G428" s="186"/>
      <c r="H428" s="186"/>
      <c r="I428" s="186"/>
      <c r="J428" s="186"/>
      <c r="L428" s="186"/>
      <c r="M428" s="186"/>
      <c r="N428" s="186"/>
      <c r="Q428" s="186"/>
      <c r="R428" s="186"/>
    </row>
    <row r="429" spans="4:18">
      <c r="D429" s="186"/>
      <c r="E429" s="480"/>
      <c r="F429" s="186"/>
      <c r="G429" s="186"/>
      <c r="H429" s="186"/>
      <c r="I429" s="186"/>
      <c r="J429" s="186"/>
      <c r="L429" s="186"/>
      <c r="M429" s="186"/>
      <c r="N429" s="186"/>
      <c r="Q429" s="186"/>
      <c r="R429" s="186"/>
    </row>
    <row r="430" spans="4:18">
      <c r="D430" s="186"/>
      <c r="E430" s="480"/>
      <c r="F430" s="186"/>
      <c r="G430" s="186"/>
      <c r="H430" s="186"/>
      <c r="I430" s="186"/>
      <c r="J430" s="186"/>
      <c r="L430" s="186"/>
      <c r="M430" s="186"/>
      <c r="N430" s="186"/>
      <c r="Q430" s="186"/>
      <c r="R430" s="186"/>
    </row>
    <row r="431" spans="4:18">
      <c r="D431" s="186"/>
      <c r="E431" s="480"/>
      <c r="F431" s="186"/>
      <c r="G431" s="186"/>
      <c r="H431" s="186"/>
      <c r="I431" s="186"/>
      <c r="J431" s="186"/>
      <c r="L431" s="186"/>
      <c r="M431" s="186"/>
      <c r="N431" s="186"/>
      <c r="Q431" s="186"/>
      <c r="R431" s="186"/>
    </row>
    <row r="432" spans="4:18">
      <c r="D432" s="186"/>
      <c r="E432" s="480"/>
      <c r="F432" s="186"/>
      <c r="G432" s="186"/>
      <c r="H432" s="186"/>
      <c r="I432" s="186"/>
      <c r="J432" s="186"/>
      <c r="L432" s="186"/>
      <c r="M432" s="186"/>
      <c r="N432" s="186"/>
      <c r="Q432" s="186"/>
      <c r="R432" s="186"/>
    </row>
    <row r="433" spans="4:18">
      <c r="D433" s="186"/>
      <c r="E433" s="480"/>
      <c r="F433" s="186"/>
      <c r="G433" s="186"/>
      <c r="H433" s="186"/>
      <c r="I433" s="186"/>
      <c r="J433" s="186"/>
      <c r="L433" s="186"/>
      <c r="M433" s="186"/>
      <c r="N433" s="186"/>
      <c r="Q433" s="186"/>
      <c r="R433" s="186"/>
    </row>
    <row r="434" spans="4:18">
      <c r="D434" s="186"/>
      <c r="E434" s="480"/>
      <c r="F434" s="186"/>
      <c r="G434" s="186"/>
      <c r="H434" s="186"/>
      <c r="I434" s="186"/>
      <c r="J434" s="186"/>
      <c r="L434" s="186"/>
      <c r="M434" s="186"/>
      <c r="N434" s="186"/>
      <c r="Q434" s="186"/>
      <c r="R434" s="186"/>
    </row>
    <row r="435" spans="4:18">
      <c r="D435" s="186"/>
      <c r="E435" s="480"/>
      <c r="F435" s="186"/>
      <c r="G435" s="186"/>
      <c r="H435" s="186"/>
      <c r="I435" s="186"/>
      <c r="J435" s="186"/>
      <c r="L435" s="186"/>
      <c r="M435" s="186"/>
      <c r="N435" s="186"/>
      <c r="Q435" s="186"/>
      <c r="R435" s="186"/>
    </row>
    <row r="436" spans="4:18">
      <c r="D436" s="186"/>
      <c r="E436" s="480"/>
      <c r="F436" s="186"/>
      <c r="G436" s="186"/>
      <c r="H436" s="186"/>
      <c r="I436" s="186"/>
      <c r="J436" s="186"/>
      <c r="L436" s="186"/>
      <c r="M436" s="186"/>
      <c r="N436" s="186"/>
      <c r="Q436" s="186"/>
      <c r="R436" s="186"/>
    </row>
    <row r="437" spans="4:18">
      <c r="D437" s="186"/>
      <c r="E437" s="480"/>
      <c r="F437" s="186"/>
      <c r="G437" s="186"/>
      <c r="H437" s="186"/>
      <c r="I437" s="186"/>
      <c r="J437" s="186"/>
      <c r="L437" s="186"/>
      <c r="M437" s="186"/>
      <c r="N437" s="186"/>
      <c r="Q437" s="186"/>
      <c r="R437" s="186"/>
    </row>
    <row r="438" spans="4:18">
      <c r="D438" s="186"/>
      <c r="E438" s="480"/>
      <c r="F438" s="186"/>
      <c r="G438" s="186"/>
      <c r="H438" s="186"/>
      <c r="I438" s="186"/>
      <c r="J438" s="186"/>
      <c r="L438" s="186"/>
      <c r="M438" s="186"/>
      <c r="N438" s="186"/>
      <c r="Q438" s="186"/>
      <c r="R438" s="186"/>
    </row>
    <row r="439" spans="4:18">
      <c r="D439" s="186"/>
      <c r="E439" s="480"/>
      <c r="F439" s="186"/>
      <c r="G439" s="186"/>
      <c r="H439" s="186"/>
      <c r="I439" s="186"/>
      <c r="J439" s="186"/>
      <c r="L439" s="186"/>
      <c r="M439" s="186"/>
      <c r="N439" s="186"/>
      <c r="Q439" s="186"/>
      <c r="R439" s="186"/>
    </row>
    <row r="440" spans="4:18">
      <c r="D440" s="186"/>
      <c r="E440" s="480"/>
      <c r="F440" s="186"/>
      <c r="G440" s="186"/>
      <c r="H440" s="186"/>
      <c r="I440" s="186"/>
      <c r="J440" s="186"/>
      <c r="L440" s="186"/>
      <c r="M440" s="186"/>
      <c r="N440" s="186"/>
      <c r="Q440" s="186"/>
      <c r="R440" s="186"/>
    </row>
    <row r="441" spans="4:18">
      <c r="D441" s="186"/>
      <c r="E441" s="480"/>
      <c r="F441" s="186"/>
      <c r="G441" s="186"/>
      <c r="H441" s="186"/>
      <c r="I441" s="186"/>
      <c r="J441" s="186"/>
      <c r="L441" s="186"/>
      <c r="M441" s="186"/>
      <c r="N441" s="186"/>
      <c r="Q441" s="186"/>
      <c r="R441" s="186"/>
    </row>
    <row r="442" spans="4:18">
      <c r="D442" s="186"/>
      <c r="E442" s="480"/>
      <c r="F442" s="186"/>
      <c r="G442" s="186"/>
      <c r="H442" s="186"/>
      <c r="I442" s="186"/>
      <c r="J442" s="186"/>
      <c r="L442" s="186"/>
      <c r="M442" s="186"/>
      <c r="N442" s="186"/>
      <c r="Q442" s="186"/>
      <c r="R442" s="186"/>
    </row>
    <row r="443" spans="4:18">
      <c r="D443" s="186"/>
      <c r="E443" s="480"/>
      <c r="F443" s="186"/>
      <c r="G443" s="186"/>
      <c r="H443" s="186"/>
      <c r="I443" s="186"/>
      <c r="J443" s="186"/>
      <c r="L443" s="186"/>
      <c r="M443" s="186"/>
      <c r="N443" s="186"/>
      <c r="Q443" s="186"/>
      <c r="R443" s="186"/>
    </row>
    <row r="444" spans="4:18">
      <c r="D444" s="186"/>
      <c r="E444" s="480"/>
      <c r="F444" s="186"/>
      <c r="G444" s="186"/>
      <c r="H444" s="186"/>
      <c r="I444" s="186"/>
      <c r="J444" s="186"/>
      <c r="L444" s="186"/>
      <c r="M444" s="186"/>
      <c r="N444" s="186"/>
      <c r="Q444" s="186"/>
      <c r="R444" s="186"/>
    </row>
    <row r="445" spans="4:18">
      <c r="D445" s="186"/>
      <c r="E445" s="480"/>
      <c r="F445" s="186"/>
      <c r="G445" s="186"/>
      <c r="H445" s="186"/>
      <c r="I445" s="186"/>
      <c r="J445" s="186"/>
      <c r="L445" s="186"/>
      <c r="M445" s="186"/>
      <c r="N445" s="186"/>
      <c r="Q445" s="186"/>
      <c r="R445" s="186"/>
    </row>
    <row r="446" spans="4:18">
      <c r="D446" s="186"/>
      <c r="E446" s="480"/>
      <c r="F446" s="186"/>
      <c r="G446" s="186"/>
      <c r="H446" s="186"/>
      <c r="I446" s="186"/>
      <c r="J446" s="186"/>
      <c r="L446" s="186"/>
      <c r="M446" s="186"/>
      <c r="N446" s="186"/>
      <c r="Q446" s="186"/>
      <c r="R446" s="186"/>
    </row>
    <row r="447" spans="4:18">
      <c r="D447" s="186"/>
      <c r="E447" s="480"/>
      <c r="F447" s="186"/>
      <c r="G447" s="186"/>
      <c r="H447" s="186"/>
      <c r="I447" s="186"/>
      <c r="J447" s="186"/>
      <c r="L447" s="186"/>
      <c r="M447" s="186"/>
      <c r="N447" s="186"/>
      <c r="Q447" s="186"/>
      <c r="R447" s="186"/>
    </row>
    <row r="448" spans="4:18">
      <c r="D448" s="186"/>
      <c r="E448" s="480"/>
      <c r="F448" s="186"/>
      <c r="G448" s="186"/>
      <c r="H448" s="186"/>
      <c r="I448" s="186"/>
      <c r="J448" s="186"/>
      <c r="L448" s="186"/>
      <c r="M448" s="186"/>
      <c r="N448" s="186"/>
      <c r="Q448" s="186"/>
      <c r="R448" s="186"/>
    </row>
    <row r="449" spans="4:18">
      <c r="D449" s="186"/>
      <c r="E449" s="480"/>
      <c r="F449" s="186"/>
      <c r="G449" s="186"/>
      <c r="H449" s="186"/>
      <c r="I449" s="186"/>
      <c r="J449" s="186"/>
      <c r="L449" s="186"/>
      <c r="M449" s="186"/>
      <c r="N449" s="186"/>
      <c r="Q449" s="186"/>
      <c r="R449" s="186"/>
    </row>
    <row r="450" spans="4:18">
      <c r="D450" s="186"/>
      <c r="E450" s="480"/>
      <c r="F450" s="186"/>
      <c r="G450" s="186"/>
      <c r="H450" s="186"/>
      <c r="I450" s="186"/>
      <c r="J450" s="186"/>
      <c r="L450" s="186"/>
      <c r="M450" s="186"/>
      <c r="N450" s="186"/>
      <c r="Q450" s="186"/>
      <c r="R450" s="186"/>
    </row>
    <row r="451" spans="4:18">
      <c r="D451" s="186"/>
      <c r="E451" s="480"/>
      <c r="F451" s="186"/>
      <c r="G451" s="186"/>
      <c r="H451" s="186"/>
      <c r="I451" s="186"/>
      <c r="J451" s="186"/>
      <c r="L451" s="186"/>
      <c r="M451" s="186"/>
      <c r="N451" s="186"/>
      <c r="Q451" s="186"/>
      <c r="R451" s="186"/>
    </row>
    <row r="452" spans="4:18">
      <c r="D452" s="186"/>
      <c r="E452" s="480"/>
      <c r="F452" s="186"/>
      <c r="G452" s="186"/>
      <c r="H452" s="186"/>
      <c r="I452" s="186"/>
      <c r="J452" s="186"/>
      <c r="L452" s="186"/>
      <c r="M452" s="186"/>
      <c r="N452" s="186"/>
      <c r="Q452" s="186"/>
      <c r="R452" s="186"/>
    </row>
    <row r="453" spans="4:18">
      <c r="D453" s="186"/>
      <c r="E453" s="480"/>
      <c r="F453" s="186"/>
      <c r="G453" s="186"/>
      <c r="H453" s="186"/>
      <c r="I453" s="186"/>
      <c r="J453" s="186"/>
      <c r="L453" s="186"/>
      <c r="M453" s="186"/>
      <c r="N453" s="186"/>
      <c r="Q453" s="186"/>
      <c r="R453" s="186"/>
    </row>
    <row r="454" spans="4:18">
      <c r="D454" s="186"/>
      <c r="E454" s="480"/>
      <c r="F454" s="186"/>
      <c r="G454" s="186"/>
      <c r="H454" s="186"/>
      <c r="I454" s="186"/>
      <c r="J454" s="186"/>
      <c r="L454" s="186"/>
      <c r="M454" s="186"/>
      <c r="N454" s="186"/>
      <c r="Q454" s="186"/>
      <c r="R454" s="186"/>
    </row>
    <row r="455" spans="4:18">
      <c r="D455" s="186"/>
      <c r="E455" s="480"/>
      <c r="F455" s="186"/>
      <c r="G455" s="186"/>
      <c r="H455" s="186"/>
      <c r="I455" s="186"/>
      <c r="J455" s="186"/>
      <c r="L455" s="186"/>
      <c r="M455" s="186"/>
      <c r="N455" s="186"/>
      <c r="Q455" s="186"/>
      <c r="R455" s="186"/>
    </row>
    <row r="456" spans="4:18">
      <c r="D456" s="186"/>
      <c r="E456" s="480"/>
      <c r="F456" s="186"/>
      <c r="G456" s="186"/>
      <c r="H456" s="186"/>
      <c r="I456" s="186"/>
      <c r="J456" s="186"/>
      <c r="L456" s="186"/>
      <c r="M456" s="186"/>
      <c r="N456" s="186"/>
      <c r="Q456" s="186"/>
      <c r="R456" s="186"/>
    </row>
    <row r="457" spans="4:18">
      <c r="D457" s="186"/>
      <c r="E457" s="480"/>
      <c r="F457" s="186"/>
      <c r="G457" s="186"/>
      <c r="H457" s="186"/>
      <c r="I457" s="186"/>
      <c r="J457" s="186"/>
      <c r="L457" s="186"/>
      <c r="M457" s="186"/>
      <c r="N457" s="186"/>
      <c r="Q457" s="186"/>
      <c r="R457" s="186"/>
    </row>
    <row r="458" spans="4:18">
      <c r="D458" s="186"/>
      <c r="E458" s="480"/>
      <c r="F458" s="186"/>
      <c r="G458" s="186"/>
      <c r="H458" s="186"/>
      <c r="I458" s="186"/>
      <c r="J458" s="186"/>
      <c r="L458" s="186"/>
      <c r="M458" s="186"/>
      <c r="N458" s="186"/>
      <c r="Q458" s="186"/>
      <c r="R458" s="186"/>
    </row>
    <row r="459" spans="4:18">
      <c r="D459" s="186"/>
      <c r="E459" s="480"/>
      <c r="F459" s="186"/>
      <c r="G459" s="186"/>
      <c r="H459" s="186"/>
      <c r="I459" s="186"/>
      <c r="J459" s="186"/>
      <c r="L459" s="186"/>
      <c r="M459" s="186"/>
      <c r="N459" s="186"/>
      <c r="Q459" s="186"/>
      <c r="R459" s="186"/>
    </row>
    <row r="460" spans="4:18">
      <c r="D460" s="186"/>
      <c r="E460" s="480"/>
      <c r="F460" s="186"/>
      <c r="G460" s="186"/>
      <c r="H460" s="186"/>
      <c r="I460" s="186"/>
      <c r="J460" s="186"/>
      <c r="L460" s="186"/>
      <c r="M460" s="186"/>
      <c r="N460" s="186"/>
      <c r="Q460" s="186"/>
      <c r="R460" s="186"/>
    </row>
    <row r="461" spans="4:18">
      <c r="D461" s="186"/>
      <c r="E461" s="480"/>
      <c r="F461" s="186"/>
      <c r="G461" s="186"/>
      <c r="H461" s="186"/>
      <c r="I461" s="186"/>
      <c r="J461" s="186"/>
      <c r="L461" s="186"/>
      <c r="M461" s="186"/>
      <c r="N461" s="186"/>
      <c r="Q461" s="186"/>
      <c r="R461" s="186"/>
    </row>
    <row r="462" spans="4:18">
      <c r="D462" s="186"/>
      <c r="E462" s="480"/>
      <c r="F462" s="186"/>
      <c r="G462" s="186"/>
      <c r="H462" s="186"/>
      <c r="I462" s="186"/>
      <c r="J462" s="186"/>
      <c r="L462" s="186"/>
      <c r="M462" s="186"/>
      <c r="N462" s="186"/>
      <c r="Q462" s="186"/>
      <c r="R462" s="186"/>
    </row>
    <row r="463" spans="4:18">
      <c r="D463" s="186"/>
      <c r="E463" s="480"/>
      <c r="F463" s="186"/>
      <c r="G463" s="186"/>
      <c r="H463" s="186"/>
      <c r="I463" s="186"/>
      <c r="J463" s="186"/>
      <c r="L463" s="186"/>
      <c r="M463" s="186"/>
      <c r="N463" s="186"/>
      <c r="Q463" s="186"/>
      <c r="R463" s="186"/>
    </row>
    <row r="464" spans="4:18">
      <c r="D464" s="186"/>
      <c r="E464" s="480"/>
      <c r="F464" s="186"/>
      <c r="G464" s="186"/>
      <c r="H464" s="186"/>
      <c r="I464" s="186"/>
      <c r="J464" s="186"/>
      <c r="L464" s="186"/>
      <c r="M464" s="186"/>
      <c r="N464" s="186"/>
      <c r="Q464" s="186"/>
      <c r="R464" s="186"/>
    </row>
    <row r="465" spans="4:18">
      <c r="D465" s="186"/>
      <c r="E465" s="480"/>
      <c r="F465" s="186"/>
      <c r="G465" s="186"/>
      <c r="H465" s="186"/>
      <c r="I465" s="186"/>
      <c r="J465" s="186"/>
      <c r="L465" s="186"/>
      <c r="M465" s="186"/>
      <c r="N465" s="186"/>
      <c r="Q465" s="186"/>
      <c r="R465" s="186"/>
    </row>
    <row r="466" spans="4:18">
      <c r="D466" s="186"/>
      <c r="E466" s="480"/>
      <c r="F466" s="186"/>
      <c r="G466" s="186"/>
      <c r="H466" s="186"/>
      <c r="I466" s="186"/>
      <c r="J466" s="186"/>
      <c r="L466" s="186"/>
      <c r="M466" s="186"/>
      <c r="N466" s="186"/>
      <c r="Q466" s="186"/>
      <c r="R466" s="186"/>
    </row>
    <row r="467" spans="4:18">
      <c r="D467" s="186"/>
      <c r="E467" s="480"/>
      <c r="F467" s="186"/>
      <c r="G467" s="186"/>
      <c r="H467" s="186"/>
      <c r="I467" s="186"/>
      <c r="J467" s="186"/>
      <c r="L467" s="186"/>
      <c r="M467" s="186"/>
      <c r="N467" s="186"/>
      <c r="Q467" s="186"/>
      <c r="R467" s="186"/>
    </row>
    <row r="468" spans="4:18">
      <c r="D468" s="186"/>
      <c r="E468" s="480"/>
      <c r="F468" s="186"/>
      <c r="G468" s="186"/>
      <c r="H468" s="186"/>
      <c r="I468" s="186"/>
      <c r="J468" s="186"/>
      <c r="L468" s="186"/>
      <c r="M468" s="186"/>
      <c r="N468" s="186"/>
      <c r="Q468" s="186"/>
      <c r="R468" s="186"/>
    </row>
    <row r="469" spans="4:18">
      <c r="D469" s="186"/>
      <c r="E469" s="480"/>
      <c r="F469" s="186"/>
      <c r="G469" s="186"/>
      <c r="H469" s="186"/>
      <c r="I469" s="186"/>
      <c r="J469" s="186"/>
      <c r="L469" s="186"/>
      <c r="M469" s="186"/>
      <c r="N469" s="186"/>
      <c r="Q469" s="186"/>
      <c r="R469" s="186"/>
    </row>
    <row r="470" spans="4:18">
      <c r="D470" s="186"/>
      <c r="E470" s="480"/>
      <c r="F470" s="186"/>
      <c r="G470" s="186"/>
      <c r="H470" s="186"/>
      <c r="I470" s="186"/>
      <c r="J470" s="186"/>
      <c r="L470" s="186"/>
      <c r="M470" s="186"/>
      <c r="N470" s="186"/>
      <c r="Q470" s="186"/>
      <c r="R470" s="186"/>
    </row>
    <row r="471" spans="4:18">
      <c r="D471" s="186"/>
      <c r="E471" s="480"/>
      <c r="F471" s="186"/>
      <c r="G471" s="186"/>
      <c r="H471" s="186"/>
      <c r="I471" s="186"/>
      <c r="J471" s="186"/>
      <c r="L471" s="186"/>
      <c r="M471" s="186"/>
      <c r="N471" s="186"/>
      <c r="Q471" s="186"/>
      <c r="R471" s="186"/>
    </row>
    <row r="472" spans="4:18">
      <c r="D472" s="186"/>
      <c r="E472" s="480"/>
      <c r="F472" s="186"/>
      <c r="G472" s="186"/>
      <c r="H472" s="186"/>
      <c r="I472" s="186"/>
      <c r="J472" s="186"/>
      <c r="L472" s="186"/>
      <c r="M472" s="186"/>
      <c r="N472" s="186"/>
      <c r="Q472" s="186"/>
      <c r="R472" s="186"/>
    </row>
    <row r="473" spans="4:18">
      <c r="D473" s="186"/>
      <c r="E473" s="480"/>
      <c r="F473" s="186"/>
      <c r="G473" s="186"/>
      <c r="H473" s="186"/>
      <c r="I473" s="186"/>
      <c r="J473" s="186"/>
      <c r="L473" s="186"/>
      <c r="M473" s="186"/>
      <c r="N473" s="186"/>
      <c r="Q473" s="186"/>
      <c r="R473" s="186"/>
    </row>
    <row r="474" spans="4:18">
      <c r="D474" s="186"/>
      <c r="E474" s="480"/>
      <c r="F474" s="186"/>
      <c r="G474" s="186"/>
      <c r="H474" s="186"/>
      <c r="I474" s="186"/>
      <c r="J474" s="186"/>
      <c r="L474" s="186"/>
      <c r="M474" s="186"/>
      <c r="N474" s="186"/>
      <c r="Q474" s="186"/>
      <c r="R474" s="186"/>
    </row>
    <row r="475" spans="4:18">
      <c r="D475" s="186"/>
      <c r="E475" s="480"/>
      <c r="F475" s="186"/>
      <c r="G475" s="186"/>
      <c r="H475" s="186"/>
      <c r="I475" s="186"/>
      <c r="J475" s="186"/>
      <c r="L475" s="186"/>
      <c r="M475" s="186"/>
      <c r="N475" s="186"/>
      <c r="Q475" s="186"/>
      <c r="R475" s="186"/>
    </row>
    <row r="476" spans="4:18">
      <c r="D476" s="186"/>
      <c r="E476" s="480"/>
      <c r="F476" s="186"/>
      <c r="G476" s="186"/>
      <c r="H476" s="186"/>
      <c r="I476" s="186"/>
      <c r="J476" s="186"/>
      <c r="L476" s="186"/>
      <c r="M476" s="186"/>
      <c r="N476" s="186"/>
      <c r="Q476" s="186"/>
      <c r="R476" s="186"/>
    </row>
    <row r="477" spans="4:18">
      <c r="D477" s="186"/>
      <c r="E477" s="480"/>
      <c r="F477" s="186"/>
      <c r="G477" s="186"/>
      <c r="H477" s="186"/>
      <c r="I477" s="186"/>
      <c r="J477" s="186"/>
      <c r="L477" s="186"/>
      <c r="M477" s="186"/>
      <c r="N477" s="186"/>
      <c r="Q477" s="186"/>
      <c r="R477" s="186"/>
    </row>
    <row r="478" spans="4:18">
      <c r="D478" s="186"/>
      <c r="E478" s="480"/>
      <c r="F478" s="186"/>
      <c r="G478" s="186"/>
      <c r="H478" s="186"/>
      <c r="I478" s="186"/>
      <c r="J478" s="186"/>
      <c r="L478" s="186"/>
      <c r="M478" s="186"/>
      <c r="N478" s="186"/>
      <c r="Q478" s="186"/>
      <c r="R478" s="186"/>
    </row>
    <row r="479" spans="4:18">
      <c r="D479" s="186"/>
      <c r="E479" s="480"/>
      <c r="F479" s="186"/>
      <c r="G479" s="186"/>
      <c r="H479" s="186"/>
      <c r="I479" s="186"/>
      <c r="J479" s="186"/>
      <c r="L479" s="186"/>
      <c r="M479" s="186"/>
      <c r="N479" s="186"/>
      <c r="Q479" s="186"/>
      <c r="R479" s="186"/>
    </row>
    <row r="480" spans="4:18">
      <c r="D480" s="186"/>
      <c r="E480" s="480"/>
      <c r="F480" s="186"/>
      <c r="G480" s="186"/>
      <c r="H480" s="186"/>
      <c r="I480" s="186"/>
      <c r="J480" s="186"/>
      <c r="L480" s="186"/>
      <c r="M480" s="186"/>
      <c r="N480" s="186"/>
      <c r="Q480" s="186"/>
      <c r="R480" s="186"/>
    </row>
    <row r="481" spans="4:18">
      <c r="D481" s="186"/>
      <c r="E481" s="480"/>
      <c r="F481" s="186"/>
      <c r="G481" s="186"/>
      <c r="H481" s="186"/>
      <c r="I481" s="186"/>
      <c r="J481" s="186"/>
      <c r="L481" s="186"/>
      <c r="M481" s="186"/>
      <c r="N481" s="186"/>
      <c r="Q481" s="186"/>
      <c r="R481" s="186"/>
    </row>
    <row r="482" spans="4:18">
      <c r="D482" s="186"/>
      <c r="E482" s="480"/>
      <c r="F482" s="186"/>
      <c r="G482" s="186"/>
      <c r="H482" s="186"/>
      <c r="I482" s="186"/>
      <c r="J482" s="186"/>
      <c r="L482" s="186"/>
      <c r="M482" s="186"/>
      <c r="N482" s="186"/>
      <c r="Q482" s="186"/>
      <c r="R482" s="186"/>
    </row>
    <row r="483" spans="4:18">
      <c r="D483" s="186"/>
      <c r="E483" s="480"/>
      <c r="F483" s="186"/>
      <c r="G483" s="186"/>
      <c r="H483" s="186"/>
      <c r="I483" s="186"/>
      <c r="J483" s="186"/>
      <c r="L483" s="186"/>
      <c r="M483" s="186"/>
      <c r="N483" s="186"/>
      <c r="Q483" s="186"/>
      <c r="R483" s="186"/>
    </row>
    <row r="484" spans="4:18">
      <c r="D484" s="186"/>
      <c r="E484" s="480"/>
      <c r="F484" s="186"/>
      <c r="G484" s="186"/>
      <c r="H484" s="186"/>
      <c r="I484" s="186"/>
      <c r="J484" s="186"/>
      <c r="L484" s="186"/>
      <c r="M484" s="186"/>
      <c r="N484" s="186"/>
      <c r="Q484" s="186"/>
      <c r="R484" s="186"/>
    </row>
    <row r="485" spans="4:18">
      <c r="D485" s="186"/>
      <c r="E485" s="480"/>
      <c r="F485" s="186"/>
      <c r="G485" s="186"/>
      <c r="H485" s="186"/>
      <c r="I485" s="186"/>
      <c r="J485" s="186"/>
      <c r="L485" s="186"/>
      <c r="M485" s="186"/>
      <c r="N485" s="186"/>
      <c r="Q485" s="186"/>
      <c r="R485" s="186"/>
    </row>
    <row r="486" spans="4:18">
      <c r="D486" s="186"/>
      <c r="E486" s="480"/>
      <c r="F486" s="186"/>
      <c r="G486" s="186"/>
      <c r="H486" s="186"/>
      <c r="I486" s="186"/>
      <c r="J486" s="186"/>
      <c r="L486" s="186"/>
      <c r="M486" s="186"/>
      <c r="N486" s="186"/>
      <c r="Q486" s="186"/>
      <c r="R486" s="186"/>
    </row>
    <row r="487" spans="4:18">
      <c r="D487" s="186"/>
      <c r="E487" s="480"/>
      <c r="F487" s="186"/>
      <c r="G487" s="186"/>
      <c r="H487" s="186"/>
      <c r="I487" s="186"/>
      <c r="J487" s="186"/>
      <c r="L487" s="186"/>
      <c r="M487" s="186"/>
      <c r="N487" s="186"/>
      <c r="Q487" s="186"/>
      <c r="R487" s="186"/>
    </row>
    <row r="488" spans="4:18">
      <c r="D488" s="186"/>
      <c r="E488" s="480"/>
      <c r="F488" s="186"/>
      <c r="G488" s="186"/>
      <c r="H488" s="186"/>
      <c r="I488" s="186"/>
      <c r="J488" s="186"/>
      <c r="L488" s="186"/>
      <c r="M488" s="186"/>
      <c r="N488" s="186"/>
      <c r="Q488" s="186"/>
      <c r="R488" s="186"/>
    </row>
    <row r="489" spans="4:18">
      <c r="D489" s="186"/>
      <c r="E489" s="480"/>
      <c r="F489" s="186"/>
      <c r="G489" s="186"/>
      <c r="H489" s="186"/>
      <c r="I489" s="186"/>
      <c r="J489" s="186"/>
      <c r="L489" s="186"/>
      <c r="M489" s="186"/>
      <c r="N489" s="186"/>
      <c r="Q489" s="186"/>
      <c r="R489" s="186"/>
    </row>
    <row r="490" spans="4:18">
      <c r="D490" s="186"/>
      <c r="E490" s="480"/>
      <c r="F490" s="186"/>
      <c r="G490" s="186"/>
      <c r="H490" s="186"/>
      <c r="I490" s="186"/>
      <c r="J490" s="186"/>
      <c r="L490" s="186"/>
      <c r="M490" s="186"/>
      <c r="N490" s="186"/>
      <c r="Q490" s="186"/>
      <c r="R490" s="186"/>
    </row>
    <row r="491" spans="4:18">
      <c r="D491" s="186"/>
      <c r="E491" s="480"/>
      <c r="F491" s="186"/>
      <c r="G491" s="186"/>
      <c r="H491" s="186"/>
      <c r="I491" s="186"/>
      <c r="J491" s="186"/>
      <c r="L491" s="186"/>
      <c r="M491" s="186"/>
      <c r="N491" s="186"/>
      <c r="Q491" s="186"/>
      <c r="R491" s="186"/>
    </row>
    <row r="492" spans="4:18">
      <c r="D492" s="186"/>
      <c r="E492" s="480"/>
      <c r="F492" s="186"/>
      <c r="G492" s="186"/>
      <c r="H492" s="186"/>
      <c r="I492" s="186"/>
      <c r="J492" s="186"/>
      <c r="L492" s="186"/>
      <c r="M492" s="186"/>
      <c r="N492" s="186"/>
      <c r="Q492" s="186"/>
      <c r="R492" s="186"/>
    </row>
    <row r="493" spans="4:18">
      <c r="D493" s="186"/>
      <c r="E493" s="480"/>
      <c r="F493" s="186"/>
      <c r="G493" s="186"/>
      <c r="H493" s="186"/>
      <c r="I493" s="186"/>
      <c r="J493" s="186"/>
      <c r="L493" s="186"/>
      <c r="M493" s="186"/>
      <c r="N493" s="186"/>
      <c r="Q493" s="186"/>
      <c r="R493" s="186"/>
    </row>
    <row r="494" spans="4:18">
      <c r="D494" s="186"/>
      <c r="E494" s="480"/>
      <c r="F494" s="186"/>
      <c r="G494" s="186"/>
      <c r="H494" s="186"/>
      <c r="I494" s="186"/>
      <c r="J494" s="186"/>
      <c r="L494" s="186"/>
      <c r="M494" s="186"/>
      <c r="N494" s="186"/>
      <c r="Q494" s="186"/>
      <c r="R494" s="186"/>
    </row>
    <row r="495" spans="4:18">
      <c r="D495" s="186"/>
      <c r="E495" s="480"/>
      <c r="F495" s="186"/>
      <c r="G495" s="186"/>
      <c r="H495" s="186"/>
      <c r="I495" s="186"/>
      <c r="J495" s="186"/>
      <c r="L495" s="186"/>
      <c r="M495" s="186"/>
      <c r="N495" s="186"/>
      <c r="Q495" s="186"/>
      <c r="R495" s="186"/>
    </row>
    <row r="496" spans="4:18">
      <c r="D496" s="186"/>
      <c r="E496" s="480"/>
      <c r="F496" s="186"/>
      <c r="G496" s="186"/>
      <c r="H496" s="186"/>
      <c r="I496" s="186"/>
      <c r="J496" s="186"/>
      <c r="L496" s="186"/>
      <c r="M496" s="186"/>
      <c r="N496" s="186"/>
      <c r="Q496" s="186"/>
      <c r="R496" s="186"/>
    </row>
    <row r="497" spans="4:18">
      <c r="D497" s="186"/>
      <c r="E497" s="480"/>
      <c r="F497" s="186"/>
      <c r="G497" s="186"/>
      <c r="H497" s="186"/>
      <c r="I497" s="186"/>
      <c r="J497" s="186"/>
      <c r="L497" s="186"/>
      <c r="M497" s="186"/>
      <c r="N497" s="186"/>
      <c r="Q497" s="186"/>
      <c r="R497" s="186"/>
    </row>
    <row r="498" spans="4:18">
      <c r="D498" s="186"/>
      <c r="E498" s="480"/>
      <c r="F498" s="186"/>
      <c r="G498" s="186"/>
      <c r="H498" s="186"/>
      <c r="I498" s="186"/>
      <c r="J498" s="186"/>
      <c r="L498" s="186"/>
      <c r="M498" s="186"/>
      <c r="N498" s="186"/>
      <c r="Q498" s="186"/>
      <c r="R498" s="186"/>
    </row>
    <row r="499" spans="4:18">
      <c r="D499" s="186"/>
      <c r="E499" s="480"/>
      <c r="F499" s="186"/>
      <c r="G499" s="186"/>
      <c r="H499" s="186"/>
      <c r="I499" s="186"/>
      <c r="J499" s="186"/>
      <c r="L499" s="186"/>
      <c r="M499" s="186"/>
      <c r="N499" s="186"/>
      <c r="Q499" s="186"/>
      <c r="R499" s="186"/>
    </row>
    <row r="500" spans="4:18">
      <c r="D500" s="186"/>
      <c r="E500" s="480"/>
      <c r="F500" s="186"/>
      <c r="G500" s="186"/>
      <c r="H500" s="186"/>
      <c r="I500" s="186"/>
      <c r="J500" s="186"/>
      <c r="L500" s="186"/>
      <c r="M500" s="186"/>
      <c r="N500" s="186"/>
      <c r="Q500" s="186"/>
      <c r="R500" s="186"/>
    </row>
    <row r="501" spans="4:18">
      <c r="D501" s="186"/>
      <c r="E501" s="480"/>
      <c r="F501" s="186"/>
      <c r="G501" s="186"/>
      <c r="H501" s="186"/>
      <c r="I501" s="186"/>
      <c r="J501" s="186"/>
      <c r="L501" s="186"/>
      <c r="M501" s="186"/>
      <c r="N501" s="186"/>
      <c r="Q501" s="186"/>
      <c r="R501" s="186"/>
    </row>
    <row r="502" spans="4:18">
      <c r="D502" s="186"/>
      <c r="E502" s="480"/>
      <c r="F502" s="186"/>
      <c r="G502" s="186"/>
      <c r="H502" s="186"/>
      <c r="I502" s="186"/>
      <c r="J502" s="186"/>
      <c r="L502" s="186"/>
      <c r="M502" s="186"/>
      <c r="N502" s="186"/>
      <c r="Q502" s="186"/>
      <c r="R502" s="186"/>
    </row>
    <row r="503" spans="4:18">
      <c r="D503" s="186"/>
      <c r="E503" s="480"/>
      <c r="F503" s="186"/>
      <c r="G503" s="186"/>
      <c r="H503" s="186"/>
      <c r="I503" s="186"/>
      <c r="J503" s="186"/>
      <c r="L503" s="186"/>
      <c r="M503" s="186"/>
      <c r="N503" s="186"/>
      <c r="Q503" s="186"/>
      <c r="R503" s="186"/>
    </row>
    <row r="504" spans="4:18">
      <c r="D504" s="186"/>
      <c r="E504" s="480"/>
      <c r="F504" s="186"/>
      <c r="G504" s="186"/>
      <c r="H504" s="186"/>
      <c r="I504" s="186"/>
      <c r="J504" s="186"/>
      <c r="L504" s="186"/>
      <c r="M504" s="186"/>
      <c r="N504" s="186"/>
      <c r="Q504" s="186"/>
      <c r="R504" s="186"/>
    </row>
    <row r="505" spans="4:18">
      <c r="D505" s="186"/>
      <c r="E505" s="480"/>
      <c r="F505" s="186"/>
      <c r="G505" s="186"/>
      <c r="H505" s="186"/>
      <c r="I505" s="186"/>
      <c r="J505" s="186"/>
      <c r="L505" s="186"/>
      <c r="M505" s="186"/>
      <c r="N505" s="186"/>
      <c r="Q505" s="186"/>
      <c r="R505" s="186"/>
    </row>
    <row r="506" spans="4:18">
      <c r="D506" s="186"/>
      <c r="E506" s="480"/>
      <c r="F506" s="186"/>
      <c r="G506" s="186"/>
      <c r="H506" s="186"/>
      <c r="I506" s="186"/>
      <c r="J506" s="186"/>
      <c r="L506" s="186"/>
      <c r="M506" s="186"/>
      <c r="N506" s="186"/>
      <c r="Q506" s="186"/>
      <c r="R506" s="186"/>
    </row>
    <row r="507" spans="4:18">
      <c r="D507" s="186"/>
      <c r="E507" s="480"/>
      <c r="F507" s="186"/>
      <c r="G507" s="186"/>
      <c r="H507" s="186"/>
      <c r="I507" s="186"/>
      <c r="J507" s="186"/>
      <c r="L507" s="186"/>
      <c r="M507" s="186"/>
      <c r="N507" s="186"/>
      <c r="Q507" s="186"/>
      <c r="R507" s="186"/>
    </row>
    <row r="508" spans="4:18">
      <c r="D508" s="186"/>
      <c r="E508" s="480"/>
      <c r="F508" s="186"/>
      <c r="G508" s="186"/>
      <c r="H508" s="186"/>
      <c r="I508" s="186"/>
      <c r="J508" s="186"/>
      <c r="L508" s="186"/>
      <c r="M508" s="186"/>
      <c r="N508" s="186"/>
      <c r="Q508" s="186"/>
      <c r="R508" s="186"/>
    </row>
    <row r="509" spans="4:18">
      <c r="D509" s="186"/>
      <c r="E509" s="480"/>
      <c r="F509" s="186"/>
      <c r="G509" s="186"/>
      <c r="H509" s="186"/>
      <c r="I509" s="186"/>
      <c r="J509" s="186"/>
      <c r="L509" s="186"/>
      <c r="M509" s="186"/>
      <c r="N509" s="186"/>
      <c r="Q509" s="186"/>
      <c r="R509" s="186"/>
    </row>
    <row r="510" spans="4:18">
      <c r="D510" s="186"/>
      <c r="E510" s="480"/>
      <c r="F510" s="186"/>
      <c r="G510" s="186"/>
      <c r="H510" s="186"/>
      <c r="I510" s="186"/>
      <c r="J510" s="186"/>
      <c r="L510" s="186"/>
      <c r="M510" s="186"/>
      <c r="N510" s="186"/>
      <c r="Q510" s="186"/>
      <c r="R510" s="186"/>
    </row>
    <row r="511" spans="4:18">
      <c r="D511" s="186"/>
      <c r="E511" s="480"/>
      <c r="F511" s="186"/>
      <c r="G511" s="186"/>
      <c r="H511" s="186"/>
      <c r="I511" s="186"/>
      <c r="J511" s="186"/>
      <c r="L511" s="186"/>
      <c r="M511" s="186"/>
      <c r="N511" s="186"/>
      <c r="Q511" s="186"/>
      <c r="R511" s="186"/>
    </row>
    <row r="512" spans="4:18">
      <c r="D512" s="186"/>
      <c r="E512" s="480"/>
      <c r="F512" s="186"/>
      <c r="G512" s="186"/>
      <c r="H512" s="186"/>
      <c r="I512" s="186"/>
      <c r="J512" s="186"/>
      <c r="L512" s="186"/>
      <c r="M512" s="186"/>
      <c r="N512" s="186"/>
      <c r="Q512" s="186"/>
      <c r="R512" s="186"/>
    </row>
    <row r="513" spans="4:18">
      <c r="D513" s="186"/>
      <c r="E513" s="480"/>
      <c r="F513" s="186"/>
      <c r="G513" s="186"/>
      <c r="H513" s="186"/>
      <c r="I513" s="186"/>
      <c r="J513" s="186"/>
      <c r="L513" s="186"/>
      <c r="M513" s="186"/>
      <c r="N513" s="186"/>
      <c r="Q513" s="186"/>
      <c r="R513" s="186"/>
    </row>
    <row r="514" spans="4:18">
      <c r="D514" s="186"/>
      <c r="E514" s="480"/>
      <c r="F514" s="186"/>
      <c r="G514" s="186"/>
      <c r="H514" s="186"/>
      <c r="I514" s="186"/>
      <c r="J514" s="186"/>
      <c r="L514" s="186"/>
      <c r="M514" s="186"/>
      <c r="N514" s="186"/>
      <c r="Q514" s="186"/>
      <c r="R514" s="186"/>
    </row>
    <row r="515" spans="4:18">
      <c r="D515" s="186"/>
      <c r="E515" s="480"/>
      <c r="F515" s="186"/>
      <c r="G515" s="186"/>
      <c r="H515" s="186"/>
      <c r="I515" s="186"/>
      <c r="J515" s="186"/>
      <c r="L515" s="186"/>
      <c r="M515" s="186"/>
      <c r="N515" s="186"/>
      <c r="Q515" s="186"/>
      <c r="R515" s="186"/>
    </row>
    <row r="516" spans="4:18">
      <c r="D516" s="186"/>
      <c r="E516" s="480"/>
      <c r="F516" s="186"/>
      <c r="G516" s="186"/>
      <c r="H516" s="186"/>
      <c r="I516" s="186"/>
      <c r="J516" s="186"/>
      <c r="L516" s="186"/>
      <c r="M516" s="186"/>
      <c r="N516" s="186"/>
      <c r="Q516" s="186"/>
      <c r="R516" s="186"/>
    </row>
    <row r="517" spans="4:18">
      <c r="D517" s="186"/>
      <c r="E517" s="480"/>
      <c r="F517" s="186"/>
      <c r="G517" s="186"/>
      <c r="H517" s="186"/>
      <c r="I517" s="186"/>
      <c r="J517" s="186"/>
      <c r="L517" s="186"/>
      <c r="M517" s="186"/>
      <c r="N517" s="186"/>
      <c r="Q517" s="186"/>
      <c r="R517" s="186"/>
    </row>
    <row r="518" spans="4:18">
      <c r="D518" s="186"/>
      <c r="E518" s="480"/>
      <c r="F518" s="186"/>
      <c r="G518" s="186"/>
      <c r="H518" s="186"/>
      <c r="I518" s="186"/>
      <c r="J518" s="186"/>
      <c r="L518" s="186"/>
      <c r="M518" s="186"/>
      <c r="N518" s="186"/>
      <c r="Q518" s="186"/>
      <c r="R518" s="186"/>
    </row>
    <row r="519" spans="4:18">
      <c r="D519" s="186"/>
      <c r="E519" s="480"/>
      <c r="F519" s="186"/>
      <c r="G519" s="186"/>
      <c r="H519" s="186"/>
      <c r="I519" s="186"/>
      <c r="J519" s="186"/>
      <c r="L519" s="186"/>
      <c r="M519" s="186"/>
      <c r="N519" s="186"/>
      <c r="Q519" s="186"/>
      <c r="R519" s="186"/>
    </row>
    <row r="520" spans="4:18">
      <c r="D520" s="186"/>
      <c r="E520" s="480"/>
      <c r="F520" s="186"/>
      <c r="G520" s="186"/>
      <c r="H520" s="186"/>
      <c r="I520" s="186"/>
      <c r="J520" s="186"/>
      <c r="L520" s="186"/>
      <c r="M520" s="186"/>
      <c r="N520" s="186"/>
      <c r="Q520" s="186"/>
      <c r="R520" s="186"/>
    </row>
    <row r="521" spans="4:18">
      <c r="D521" s="186"/>
      <c r="E521" s="480"/>
      <c r="F521" s="186"/>
      <c r="G521" s="186"/>
      <c r="H521" s="186"/>
      <c r="I521" s="186"/>
      <c r="J521" s="186"/>
      <c r="L521" s="186"/>
      <c r="M521" s="186"/>
      <c r="N521" s="186"/>
      <c r="Q521" s="186"/>
      <c r="R521" s="186"/>
    </row>
    <row r="522" spans="4:18">
      <c r="D522" s="186"/>
      <c r="E522" s="480"/>
      <c r="F522" s="186"/>
      <c r="G522" s="186"/>
      <c r="H522" s="186"/>
      <c r="I522" s="186"/>
      <c r="J522" s="186"/>
      <c r="L522" s="186"/>
      <c r="M522" s="186"/>
      <c r="N522" s="186"/>
      <c r="Q522" s="186"/>
      <c r="R522" s="186"/>
    </row>
    <row r="523" spans="4:18">
      <c r="D523" s="186"/>
      <c r="E523" s="480"/>
      <c r="F523" s="186"/>
      <c r="G523" s="186"/>
      <c r="H523" s="186"/>
      <c r="I523" s="186"/>
      <c r="J523" s="186"/>
      <c r="L523" s="186"/>
      <c r="M523" s="186"/>
      <c r="N523" s="186"/>
      <c r="Q523" s="186"/>
      <c r="R523" s="186"/>
    </row>
    <row r="524" spans="4:18">
      <c r="D524" s="186"/>
      <c r="E524" s="480"/>
      <c r="F524" s="186"/>
      <c r="G524" s="186"/>
      <c r="H524" s="186"/>
      <c r="I524" s="186"/>
      <c r="J524" s="186"/>
      <c r="L524" s="186"/>
      <c r="M524" s="186"/>
      <c r="N524" s="186"/>
      <c r="Q524" s="186"/>
      <c r="R524" s="186"/>
    </row>
    <row r="525" spans="4:18">
      <c r="D525" s="186"/>
      <c r="E525" s="480"/>
      <c r="F525" s="186"/>
      <c r="G525" s="186"/>
      <c r="H525" s="186"/>
      <c r="I525" s="186"/>
      <c r="J525" s="186"/>
      <c r="L525" s="186"/>
      <c r="M525" s="186"/>
      <c r="N525" s="186"/>
      <c r="Q525" s="186"/>
      <c r="R525" s="186"/>
    </row>
    <row r="526" spans="4:18">
      <c r="D526" s="186"/>
      <c r="E526" s="480"/>
      <c r="F526" s="186"/>
      <c r="G526" s="186"/>
      <c r="H526" s="186"/>
      <c r="I526" s="186"/>
      <c r="J526" s="186"/>
      <c r="L526" s="186"/>
      <c r="M526" s="186"/>
      <c r="N526" s="186"/>
      <c r="Q526" s="186"/>
      <c r="R526" s="186"/>
    </row>
    <row r="527" spans="4:18">
      <c r="D527" s="186"/>
      <c r="E527" s="480"/>
      <c r="F527" s="186"/>
      <c r="G527" s="186"/>
      <c r="H527" s="186"/>
      <c r="I527" s="186"/>
      <c r="J527" s="186"/>
      <c r="L527" s="186"/>
      <c r="M527" s="186"/>
      <c r="N527" s="186"/>
      <c r="Q527" s="186"/>
      <c r="R527" s="186"/>
    </row>
    <row r="528" spans="4:18">
      <c r="D528" s="186"/>
      <c r="E528" s="480"/>
      <c r="F528" s="186"/>
      <c r="G528" s="186"/>
      <c r="H528" s="186"/>
      <c r="I528" s="186"/>
      <c r="J528" s="186"/>
      <c r="L528" s="186"/>
      <c r="M528" s="186"/>
      <c r="N528" s="186"/>
      <c r="Q528" s="186"/>
      <c r="R528" s="186"/>
    </row>
    <row r="529" spans="4:18">
      <c r="D529" s="186"/>
      <c r="E529" s="480"/>
      <c r="F529" s="186"/>
      <c r="G529" s="186"/>
      <c r="H529" s="186"/>
      <c r="I529" s="186"/>
      <c r="J529" s="186"/>
      <c r="L529" s="186"/>
      <c r="M529" s="186"/>
      <c r="N529" s="186"/>
      <c r="Q529" s="186"/>
      <c r="R529" s="186"/>
    </row>
    <row r="530" spans="4:18">
      <c r="D530" s="186"/>
      <c r="E530" s="480"/>
      <c r="F530" s="186"/>
      <c r="G530" s="186"/>
      <c r="H530" s="186"/>
      <c r="I530" s="186"/>
      <c r="J530" s="186"/>
      <c r="L530" s="186"/>
      <c r="M530" s="186"/>
      <c r="N530" s="186"/>
      <c r="Q530" s="186"/>
      <c r="R530" s="186"/>
    </row>
    <row r="531" spans="4:18">
      <c r="D531" s="186"/>
      <c r="E531" s="480"/>
      <c r="F531" s="186"/>
      <c r="G531" s="186"/>
      <c r="H531" s="186"/>
      <c r="I531" s="186"/>
      <c r="J531" s="186"/>
      <c r="L531" s="186"/>
      <c r="M531" s="186"/>
      <c r="N531" s="186"/>
      <c r="Q531" s="186"/>
      <c r="R531" s="186"/>
    </row>
    <row r="532" spans="4:18">
      <c r="D532" s="186"/>
      <c r="E532" s="480"/>
      <c r="F532" s="186"/>
      <c r="G532" s="186"/>
      <c r="H532" s="186"/>
      <c r="I532" s="186"/>
      <c r="J532" s="186"/>
      <c r="L532" s="186"/>
      <c r="M532" s="186"/>
      <c r="N532" s="186"/>
      <c r="Q532" s="186"/>
      <c r="R532" s="186"/>
    </row>
    <row r="533" spans="4:18">
      <c r="D533" s="186"/>
      <c r="E533" s="480"/>
      <c r="F533" s="186"/>
      <c r="G533" s="186"/>
      <c r="H533" s="186"/>
      <c r="I533" s="186"/>
      <c r="J533" s="186"/>
      <c r="L533" s="186"/>
      <c r="M533" s="186"/>
      <c r="N533" s="186"/>
      <c r="Q533" s="186"/>
      <c r="R533" s="186"/>
    </row>
    <row r="534" spans="4:18">
      <c r="D534" s="186"/>
      <c r="E534" s="480"/>
      <c r="F534" s="186"/>
      <c r="G534" s="186"/>
      <c r="H534" s="186"/>
      <c r="I534" s="186"/>
      <c r="J534" s="186"/>
      <c r="L534" s="186"/>
      <c r="M534" s="186"/>
      <c r="N534" s="186"/>
      <c r="Q534" s="186"/>
      <c r="R534" s="186"/>
    </row>
    <row r="535" spans="4:18">
      <c r="D535" s="186"/>
      <c r="E535" s="480"/>
      <c r="F535" s="186"/>
      <c r="G535" s="186"/>
      <c r="H535" s="186"/>
      <c r="I535" s="186"/>
      <c r="J535" s="186"/>
      <c r="L535" s="186"/>
      <c r="M535" s="186"/>
      <c r="N535" s="186"/>
      <c r="Q535" s="186"/>
      <c r="R535" s="186"/>
    </row>
    <row r="536" spans="4:18">
      <c r="D536" s="186"/>
      <c r="E536" s="480"/>
      <c r="F536" s="186"/>
      <c r="G536" s="186"/>
      <c r="H536" s="186"/>
      <c r="I536" s="186"/>
      <c r="J536" s="186"/>
      <c r="L536" s="186"/>
      <c r="M536" s="186"/>
      <c r="N536" s="186"/>
      <c r="Q536" s="186"/>
      <c r="R536" s="186"/>
    </row>
    <row r="537" spans="4:18">
      <c r="D537" s="186"/>
      <c r="E537" s="480"/>
      <c r="F537" s="186"/>
      <c r="G537" s="186"/>
      <c r="H537" s="186"/>
      <c r="I537" s="186"/>
      <c r="J537" s="186"/>
      <c r="L537" s="186"/>
      <c r="M537" s="186"/>
      <c r="N537" s="186"/>
      <c r="Q537" s="186"/>
      <c r="R537" s="186"/>
    </row>
    <row r="538" spans="4:18">
      <c r="D538" s="186"/>
      <c r="E538" s="480"/>
      <c r="F538" s="186"/>
      <c r="G538" s="186"/>
      <c r="H538" s="186"/>
      <c r="I538" s="186"/>
      <c r="J538" s="186"/>
      <c r="L538" s="186"/>
      <c r="M538" s="186"/>
      <c r="N538" s="186"/>
      <c r="Q538" s="186"/>
      <c r="R538" s="186"/>
    </row>
    <row r="539" spans="4:18">
      <c r="D539" s="186"/>
      <c r="E539" s="480"/>
      <c r="F539" s="186"/>
      <c r="G539" s="186"/>
      <c r="H539" s="186"/>
      <c r="I539" s="186"/>
      <c r="J539" s="186"/>
      <c r="L539" s="186"/>
      <c r="M539" s="186"/>
      <c r="N539" s="186"/>
      <c r="Q539" s="186"/>
      <c r="R539" s="186"/>
    </row>
    <row r="540" spans="4:18">
      <c r="D540" s="186"/>
      <c r="E540" s="480"/>
      <c r="F540" s="186"/>
      <c r="G540" s="186"/>
      <c r="H540" s="186"/>
      <c r="I540" s="186"/>
      <c r="J540" s="186"/>
      <c r="L540" s="186"/>
      <c r="M540" s="186"/>
      <c r="N540" s="186"/>
      <c r="Q540" s="186"/>
      <c r="R540" s="186"/>
    </row>
    <row r="541" spans="4:18">
      <c r="D541" s="186"/>
      <c r="E541" s="480"/>
      <c r="F541" s="186"/>
      <c r="G541" s="186"/>
      <c r="H541" s="186"/>
      <c r="I541" s="186"/>
      <c r="J541" s="186"/>
      <c r="L541" s="186"/>
      <c r="M541" s="186"/>
      <c r="N541" s="186"/>
      <c r="Q541" s="186"/>
      <c r="R541" s="186"/>
    </row>
    <row r="542" spans="4:18">
      <c r="D542" s="186"/>
      <c r="E542" s="480"/>
      <c r="F542" s="186"/>
      <c r="G542" s="186"/>
      <c r="H542" s="186"/>
      <c r="I542" s="186"/>
      <c r="J542" s="186"/>
      <c r="L542" s="186"/>
      <c r="M542" s="186"/>
      <c r="N542" s="186"/>
      <c r="Q542" s="186"/>
      <c r="R542" s="186"/>
    </row>
    <row r="543" spans="4:18">
      <c r="D543" s="186"/>
      <c r="E543" s="480"/>
      <c r="F543" s="186"/>
      <c r="G543" s="186"/>
      <c r="H543" s="186"/>
      <c r="I543" s="186"/>
      <c r="J543" s="186"/>
      <c r="L543" s="186"/>
      <c r="M543" s="186"/>
      <c r="N543" s="186"/>
      <c r="Q543" s="186"/>
      <c r="R543" s="186"/>
    </row>
    <row r="544" spans="4:18">
      <c r="D544" s="186"/>
      <c r="E544" s="480"/>
      <c r="F544" s="186"/>
      <c r="G544" s="186"/>
      <c r="H544" s="186"/>
      <c r="I544" s="186"/>
      <c r="J544" s="186"/>
      <c r="L544" s="186"/>
      <c r="M544" s="186"/>
      <c r="N544" s="186"/>
      <c r="Q544" s="186"/>
      <c r="R544" s="186"/>
    </row>
    <row r="545" spans="4:18">
      <c r="D545" s="186"/>
      <c r="E545" s="480"/>
      <c r="F545" s="186"/>
      <c r="G545" s="186"/>
      <c r="H545" s="186"/>
      <c r="I545" s="186"/>
      <c r="J545" s="186"/>
      <c r="L545" s="186"/>
      <c r="M545" s="186"/>
      <c r="N545" s="186"/>
      <c r="Q545" s="186"/>
      <c r="R545" s="186"/>
    </row>
    <row r="546" spans="4:18">
      <c r="D546" s="186"/>
      <c r="E546" s="480"/>
      <c r="F546" s="186"/>
      <c r="G546" s="186"/>
      <c r="H546" s="186"/>
      <c r="I546" s="186"/>
      <c r="J546" s="186"/>
      <c r="L546" s="186"/>
      <c r="M546" s="186"/>
      <c r="N546" s="186"/>
      <c r="Q546" s="186"/>
      <c r="R546" s="186"/>
    </row>
    <row r="547" spans="4:18">
      <c r="D547" s="186"/>
      <c r="E547" s="480"/>
      <c r="F547" s="186"/>
      <c r="G547" s="186"/>
      <c r="H547" s="186"/>
      <c r="I547" s="186"/>
      <c r="J547" s="186"/>
      <c r="L547" s="186"/>
      <c r="M547" s="186"/>
      <c r="N547" s="186"/>
      <c r="Q547" s="186"/>
      <c r="R547" s="186"/>
    </row>
    <row r="548" spans="4:18">
      <c r="D548" s="186"/>
      <c r="E548" s="480"/>
      <c r="F548" s="186"/>
      <c r="G548" s="186"/>
      <c r="H548" s="186"/>
      <c r="I548" s="186"/>
      <c r="J548" s="186"/>
      <c r="L548" s="186"/>
      <c r="M548" s="186"/>
      <c r="N548" s="186"/>
      <c r="Q548" s="186"/>
      <c r="R548" s="186"/>
    </row>
    <row r="549" spans="4:18">
      <c r="D549" s="186"/>
      <c r="E549" s="480"/>
      <c r="F549" s="186"/>
      <c r="G549" s="186"/>
      <c r="H549" s="186"/>
      <c r="I549" s="186"/>
      <c r="J549" s="186"/>
      <c r="L549" s="186"/>
      <c r="M549" s="186"/>
      <c r="N549" s="186"/>
      <c r="Q549" s="186"/>
      <c r="R549" s="186"/>
    </row>
    <row r="550" spans="4:18">
      <c r="D550" s="186"/>
      <c r="E550" s="480"/>
      <c r="F550" s="186"/>
      <c r="G550" s="186"/>
      <c r="H550" s="186"/>
      <c r="I550" s="186"/>
      <c r="J550" s="186"/>
      <c r="L550" s="186"/>
      <c r="M550" s="186"/>
      <c r="N550" s="186"/>
      <c r="Q550" s="186"/>
      <c r="R550" s="186"/>
    </row>
    <row r="551" spans="4:18">
      <c r="D551" s="186"/>
      <c r="E551" s="480"/>
      <c r="F551" s="186"/>
      <c r="G551" s="186"/>
      <c r="H551" s="186"/>
      <c r="I551" s="186"/>
      <c r="J551" s="186"/>
      <c r="L551" s="186"/>
      <c r="M551" s="186"/>
      <c r="N551" s="186"/>
      <c r="Q551" s="186"/>
      <c r="R551" s="186"/>
    </row>
    <row r="552" spans="4:18">
      <c r="D552" s="186"/>
      <c r="E552" s="480"/>
      <c r="F552" s="186"/>
      <c r="G552" s="186"/>
      <c r="H552" s="186"/>
      <c r="I552" s="186"/>
      <c r="J552" s="186"/>
      <c r="L552" s="186"/>
      <c r="M552" s="186"/>
      <c r="N552" s="186"/>
      <c r="Q552" s="186"/>
      <c r="R552" s="186"/>
    </row>
    <row r="553" spans="4:18">
      <c r="D553" s="186"/>
      <c r="E553" s="480"/>
      <c r="F553" s="186"/>
      <c r="G553" s="186"/>
      <c r="H553" s="186"/>
      <c r="I553" s="186"/>
      <c r="J553" s="186"/>
      <c r="L553" s="186"/>
      <c r="M553" s="186"/>
      <c r="N553" s="186"/>
      <c r="Q553" s="186"/>
      <c r="R553" s="186"/>
    </row>
    <row r="554" spans="4:18">
      <c r="D554" s="186"/>
      <c r="E554" s="480"/>
      <c r="F554" s="186"/>
      <c r="G554" s="186"/>
      <c r="H554" s="186"/>
      <c r="I554" s="186"/>
      <c r="J554" s="186"/>
      <c r="L554" s="186"/>
      <c r="M554" s="186"/>
      <c r="N554" s="186"/>
      <c r="Q554" s="186"/>
      <c r="R554" s="186"/>
    </row>
    <row r="555" spans="4:18">
      <c r="D555" s="186"/>
      <c r="E555" s="480"/>
      <c r="F555" s="186"/>
      <c r="G555" s="186"/>
      <c r="H555" s="186"/>
      <c r="I555" s="186"/>
      <c r="J555" s="186"/>
      <c r="L555" s="186"/>
      <c r="M555" s="186"/>
      <c r="N555" s="186"/>
      <c r="Q555" s="186"/>
      <c r="R555" s="186"/>
    </row>
    <row r="556" spans="4:18">
      <c r="D556" s="186"/>
      <c r="E556" s="480"/>
      <c r="F556" s="186"/>
      <c r="G556" s="186"/>
      <c r="H556" s="186"/>
      <c r="I556" s="186"/>
      <c r="J556" s="186"/>
      <c r="L556" s="186"/>
      <c r="M556" s="186"/>
      <c r="N556" s="186"/>
      <c r="Q556" s="186"/>
      <c r="R556" s="186"/>
    </row>
    <row r="557" spans="4:18">
      <c r="D557" s="186"/>
      <c r="E557" s="480"/>
      <c r="F557" s="186"/>
      <c r="G557" s="186"/>
      <c r="H557" s="186"/>
      <c r="I557" s="186"/>
      <c r="J557" s="186"/>
      <c r="L557" s="186"/>
      <c r="M557" s="186"/>
      <c r="N557" s="186"/>
      <c r="Q557" s="186"/>
      <c r="R557" s="186"/>
    </row>
    <row r="558" spans="4:18">
      <c r="D558" s="186"/>
      <c r="E558" s="480"/>
      <c r="F558" s="186"/>
      <c r="G558" s="186"/>
      <c r="H558" s="186"/>
      <c r="I558" s="186"/>
      <c r="J558" s="186"/>
      <c r="L558" s="186"/>
      <c r="M558" s="186"/>
      <c r="N558" s="186"/>
      <c r="Q558" s="186"/>
      <c r="R558" s="186"/>
    </row>
    <row r="559" spans="4:18">
      <c r="D559" s="186"/>
      <c r="E559" s="480"/>
      <c r="F559" s="186"/>
      <c r="G559" s="186"/>
      <c r="H559" s="186"/>
      <c r="I559" s="186"/>
      <c r="J559" s="186"/>
      <c r="L559" s="186"/>
      <c r="M559" s="186"/>
      <c r="N559" s="186"/>
      <c r="Q559" s="186"/>
      <c r="R559" s="186"/>
    </row>
    <row r="560" spans="4:18">
      <c r="D560" s="186"/>
      <c r="E560" s="480"/>
      <c r="F560" s="186"/>
      <c r="G560" s="186"/>
      <c r="H560" s="186"/>
      <c r="I560" s="186"/>
      <c r="J560" s="186"/>
      <c r="L560" s="186"/>
      <c r="M560" s="186"/>
      <c r="N560" s="186"/>
      <c r="Q560" s="186"/>
      <c r="R560" s="186"/>
    </row>
    <row r="561" spans="4:18">
      <c r="D561" s="186"/>
      <c r="E561" s="480"/>
      <c r="F561" s="186"/>
      <c r="G561" s="186"/>
      <c r="H561" s="186"/>
      <c r="I561" s="186"/>
      <c r="J561" s="186"/>
      <c r="L561" s="186"/>
      <c r="M561" s="186"/>
      <c r="N561" s="186"/>
      <c r="Q561" s="186"/>
      <c r="R561" s="186"/>
    </row>
    <row r="562" spans="4:18">
      <c r="D562" s="186"/>
      <c r="E562" s="480"/>
      <c r="F562" s="186"/>
      <c r="G562" s="186"/>
      <c r="H562" s="186"/>
      <c r="I562" s="186"/>
      <c r="J562" s="186"/>
      <c r="L562" s="186"/>
      <c r="M562" s="186"/>
      <c r="N562" s="186"/>
      <c r="Q562" s="186"/>
      <c r="R562" s="186"/>
    </row>
    <row r="563" spans="4:18">
      <c r="D563" s="186"/>
      <c r="E563" s="480"/>
      <c r="F563" s="186"/>
      <c r="G563" s="186"/>
      <c r="H563" s="186"/>
      <c r="I563" s="186"/>
      <c r="J563" s="186"/>
      <c r="L563" s="186"/>
      <c r="M563" s="186"/>
      <c r="N563" s="186"/>
      <c r="Q563" s="186"/>
      <c r="R563" s="186"/>
    </row>
    <row r="564" spans="4:18">
      <c r="D564" s="186"/>
      <c r="E564" s="480"/>
      <c r="F564" s="186"/>
      <c r="G564" s="186"/>
      <c r="H564" s="186"/>
      <c r="I564" s="186"/>
      <c r="J564" s="186"/>
      <c r="L564" s="186"/>
      <c r="M564" s="186"/>
      <c r="N564" s="186"/>
      <c r="Q564" s="186"/>
      <c r="R564" s="186"/>
    </row>
    <row r="565" spans="4:18">
      <c r="D565" s="186"/>
      <c r="E565" s="480"/>
      <c r="F565" s="186"/>
      <c r="G565" s="186"/>
      <c r="H565" s="186"/>
      <c r="I565" s="186"/>
      <c r="J565" s="186"/>
      <c r="L565" s="186"/>
      <c r="M565" s="186"/>
      <c r="N565" s="186"/>
      <c r="Q565" s="186"/>
      <c r="R565" s="186"/>
    </row>
    <row r="566" spans="4:18">
      <c r="D566" s="186"/>
      <c r="E566" s="480"/>
      <c r="F566" s="186"/>
      <c r="G566" s="186"/>
      <c r="H566" s="186"/>
      <c r="I566" s="186"/>
      <c r="J566" s="186"/>
      <c r="L566" s="186"/>
      <c r="M566" s="186"/>
      <c r="N566" s="186"/>
      <c r="Q566" s="186"/>
      <c r="R566" s="186"/>
    </row>
    <row r="567" spans="4:18">
      <c r="D567" s="186"/>
      <c r="E567" s="480"/>
      <c r="F567" s="186"/>
      <c r="G567" s="186"/>
      <c r="H567" s="186"/>
      <c r="I567" s="186"/>
      <c r="J567" s="186"/>
      <c r="L567" s="186"/>
      <c r="M567" s="186"/>
      <c r="N567" s="186"/>
      <c r="Q567" s="186"/>
      <c r="R567" s="186"/>
    </row>
    <row r="568" spans="4:18">
      <c r="D568" s="186"/>
      <c r="E568" s="480"/>
      <c r="F568" s="186"/>
      <c r="G568" s="186"/>
      <c r="H568" s="186"/>
      <c r="I568" s="186"/>
      <c r="J568" s="186"/>
      <c r="L568" s="186"/>
      <c r="M568" s="186"/>
      <c r="N568" s="186"/>
      <c r="Q568" s="186"/>
      <c r="R568" s="186"/>
    </row>
    <row r="569" spans="4:18">
      <c r="D569" s="186"/>
      <c r="E569" s="480"/>
      <c r="F569" s="186"/>
      <c r="G569" s="186"/>
      <c r="H569" s="186"/>
      <c r="I569" s="186"/>
      <c r="J569" s="186"/>
      <c r="L569" s="186"/>
      <c r="M569" s="186"/>
      <c r="N569" s="186"/>
      <c r="Q569" s="186"/>
      <c r="R569" s="186"/>
    </row>
    <row r="570" spans="4:18">
      <c r="D570" s="186"/>
      <c r="E570" s="480"/>
      <c r="F570" s="186"/>
      <c r="G570" s="186"/>
      <c r="H570" s="186"/>
      <c r="I570" s="186"/>
      <c r="J570" s="186"/>
      <c r="L570" s="186"/>
      <c r="M570" s="186"/>
      <c r="N570" s="186"/>
      <c r="Q570" s="186"/>
      <c r="R570" s="186"/>
    </row>
    <row r="571" spans="4:18">
      <c r="D571" s="186"/>
      <c r="E571" s="480"/>
      <c r="F571" s="186"/>
      <c r="G571" s="186"/>
      <c r="H571" s="186"/>
      <c r="I571" s="186"/>
      <c r="J571" s="186"/>
      <c r="L571" s="186"/>
      <c r="M571" s="186"/>
      <c r="N571" s="186"/>
      <c r="Q571" s="186"/>
      <c r="R571" s="186"/>
    </row>
    <row r="572" spans="4:18">
      <c r="D572" s="186"/>
      <c r="E572" s="480"/>
      <c r="F572" s="186"/>
      <c r="G572" s="186"/>
      <c r="H572" s="186"/>
      <c r="I572" s="186"/>
      <c r="J572" s="186"/>
      <c r="L572" s="186"/>
      <c r="M572" s="186"/>
      <c r="N572" s="186"/>
      <c r="Q572" s="186"/>
      <c r="R572" s="186"/>
    </row>
    <row r="573" spans="4:18">
      <c r="D573" s="186"/>
      <c r="E573" s="480"/>
      <c r="F573" s="186"/>
      <c r="G573" s="186"/>
      <c r="H573" s="186"/>
      <c r="I573" s="186"/>
      <c r="J573" s="186"/>
      <c r="L573" s="186"/>
      <c r="M573" s="186"/>
      <c r="N573" s="186"/>
      <c r="Q573" s="186"/>
      <c r="R573" s="186"/>
    </row>
    <row r="574" spans="4:18">
      <c r="D574" s="186"/>
      <c r="E574" s="480"/>
      <c r="F574" s="186"/>
      <c r="G574" s="186"/>
      <c r="H574" s="186"/>
      <c r="I574" s="186"/>
      <c r="J574" s="186"/>
      <c r="L574" s="186"/>
      <c r="M574" s="186"/>
      <c r="N574" s="186"/>
      <c r="Q574" s="186"/>
      <c r="R574" s="186"/>
    </row>
    <row r="575" spans="4:18">
      <c r="D575" s="186"/>
      <c r="E575" s="480"/>
      <c r="F575" s="186"/>
      <c r="G575" s="186"/>
      <c r="H575" s="186"/>
      <c r="I575" s="186"/>
      <c r="J575" s="186"/>
      <c r="L575" s="186"/>
      <c r="M575" s="186"/>
      <c r="N575" s="186"/>
      <c r="Q575" s="186"/>
      <c r="R575" s="186"/>
    </row>
    <row r="576" spans="4:18">
      <c r="D576" s="186"/>
      <c r="E576" s="480"/>
      <c r="F576" s="186"/>
      <c r="G576" s="186"/>
      <c r="H576" s="186"/>
      <c r="I576" s="186"/>
      <c r="J576" s="186"/>
      <c r="L576" s="186"/>
      <c r="M576" s="186"/>
      <c r="N576" s="186"/>
      <c r="Q576" s="186"/>
      <c r="R576" s="186"/>
    </row>
    <row r="577" spans="4:18">
      <c r="D577" s="186"/>
      <c r="E577" s="480"/>
      <c r="F577" s="186"/>
      <c r="G577" s="186"/>
      <c r="H577" s="186"/>
      <c r="I577" s="186"/>
      <c r="J577" s="186"/>
      <c r="L577" s="186"/>
      <c r="M577" s="186"/>
      <c r="N577" s="186"/>
      <c r="Q577" s="186"/>
      <c r="R577" s="186"/>
    </row>
    <row r="578" spans="4:18">
      <c r="D578" s="186"/>
      <c r="E578" s="480"/>
      <c r="F578" s="186"/>
      <c r="G578" s="186"/>
      <c r="H578" s="186"/>
      <c r="I578" s="186"/>
      <c r="J578" s="186"/>
      <c r="L578" s="186"/>
      <c r="M578" s="186"/>
      <c r="N578" s="186"/>
      <c r="Q578" s="186"/>
      <c r="R578" s="186"/>
    </row>
    <row r="579" spans="4:18">
      <c r="D579" s="186"/>
      <c r="E579" s="480"/>
      <c r="F579" s="186"/>
      <c r="G579" s="186"/>
      <c r="H579" s="186"/>
      <c r="I579" s="186"/>
      <c r="J579" s="186"/>
      <c r="L579" s="186"/>
      <c r="M579" s="186"/>
      <c r="N579" s="186"/>
      <c r="Q579" s="186"/>
      <c r="R579" s="186"/>
    </row>
    <row r="580" spans="4:18">
      <c r="D580" s="186"/>
      <c r="E580" s="480"/>
      <c r="F580" s="186"/>
      <c r="G580" s="186"/>
      <c r="H580" s="186"/>
      <c r="I580" s="186"/>
      <c r="J580" s="186"/>
      <c r="L580" s="186"/>
      <c r="M580" s="186"/>
      <c r="N580" s="186"/>
      <c r="Q580" s="186"/>
      <c r="R580" s="186"/>
    </row>
    <row r="581" spans="4:18">
      <c r="D581" s="186"/>
      <c r="E581" s="480"/>
      <c r="F581" s="186"/>
      <c r="G581" s="186"/>
      <c r="H581" s="186"/>
      <c r="I581" s="186"/>
      <c r="J581" s="186"/>
      <c r="L581" s="186"/>
      <c r="M581" s="186"/>
      <c r="N581" s="186"/>
      <c r="Q581" s="186"/>
      <c r="R581" s="186"/>
    </row>
    <row r="582" spans="4:18">
      <c r="D582" s="186"/>
      <c r="E582" s="480"/>
      <c r="F582" s="186"/>
      <c r="G582" s="186"/>
      <c r="H582" s="186"/>
      <c r="I582" s="186"/>
      <c r="J582" s="186"/>
      <c r="L582" s="186"/>
      <c r="M582" s="186"/>
      <c r="N582" s="186"/>
      <c r="Q582" s="186"/>
      <c r="R582" s="186"/>
    </row>
    <row r="583" spans="4:18">
      <c r="D583" s="186"/>
      <c r="E583" s="480"/>
      <c r="F583" s="186"/>
      <c r="G583" s="186"/>
      <c r="H583" s="186"/>
      <c r="I583" s="186"/>
      <c r="J583" s="186"/>
      <c r="L583" s="186"/>
      <c r="M583" s="186"/>
      <c r="N583" s="186"/>
      <c r="Q583" s="186"/>
      <c r="R583" s="186"/>
    </row>
    <row r="584" spans="4:18">
      <c r="D584" s="186"/>
      <c r="E584" s="480"/>
      <c r="F584" s="186"/>
      <c r="G584" s="186"/>
      <c r="H584" s="186"/>
      <c r="I584" s="186"/>
      <c r="J584" s="186"/>
      <c r="L584" s="186"/>
      <c r="M584" s="186"/>
      <c r="N584" s="186"/>
      <c r="Q584" s="186"/>
      <c r="R584" s="186"/>
    </row>
    <row r="585" spans="4:18">
      <c r="D585" s="186"/>
      <c r="E585" s="480"/>
      <c r="F585" s="186"/>
      <c r="G585" s="186"/>
      <c r="H585" s="186"/>
      <c r="I585" s="186"/>
      <c r="J585" s="186"/>
      <c r="L585" s="186"/>
      <c r="M585" s="186"/>
      <c r="N585" s="186"/>
      <c r="Q585" s="186"/>
      <c r="R585" s="186"/>
    </row>
    <row r="586" spans="4:18">
      <c r="D586" s="186"/>
      <c r="E586" s="480"/>
      <c r="F586" s="186"/>
      <c r="G586" s="186"/>
      <c r="H586" s="186"/>
      <c r="I586" s="186"/>
      <c r="J586" s="186"/>
      <c r="L586" s="186"/>
      <c r="M586" s="186"/>
      <c r="N586" s="186"/>
      <c r="Q586" s="186"/>
      <c r="R586" s="186"/>
    </row>
    <row r="587" spans="4:18">
      <c r="D587" s="186"/>
      <c r="E587" s="480"/>
      <c r="F587" s="186"/>
      <c r="G587" s="186"/>
      <c r="H587" s="186"/>
      <c r="I587" s="186"/>
      <c r="J587" s="186"/>
      <c r="L587" s="186"/>
      <c r="M587" s="186"/>
      <c r="N587" s="186"/>
      <c r="Q587" s="186"/>
      <c r="R587" s="186"/>
    </row>
    <row r="588" spans="4:18">
      <c r="D588" s="186"/>
      <c r="E588" s="480"/>
      <c r="F588" s="186"/>
      <c r="G588" s="186"/>
      <c r="H588" s="186"/>
      <c r="I588" s="186"/>
      <c r="J588" s="186"/>
      <c r="L588" s="186"/>
      <c r="M588" s="186"/>
      <c r="N588" s="186"/>
      <c r="Q588" s="186"/>
      <c r="R588" s="186"/>
    </row>
    <row r="589" spans="4:18">
      <c r="D589" s="186"/>
      <c r="E589" s="480"/>
      <c r="F589" s="186"/>
      <c r="G589" s="186"/>
      <c r="H589" s="186"/>
      <c r="I589" s="186"/>
      <c r="J589" s="186"/>
      <c r="L589" s="186"/>
      <c r="M589" s="186"/>
      <c r="N589" s="186"/>
      <c r="Q589" s="186"/>
      <c r="R589" s="186"/>
    </row>
    <row r="590" spans="4:18">
      <c r="D590" s="186"/>
      <c r="E590" s="480"/>
      <c r="F590" s="186"/>
      <c r="G590" s="186"/>
      <c r="H590" s="186"/>
      <c r="I590" s="186"/>
      <c r="J590" s="186"/>
      <c r="L590" s="186"/>
      <c r="M590" s="186"/>
      <c r="N590" s="186"/>
      <c r="Q590" s="186"/>
      <c r="R590" s="186"/>
    </row>
    <row r="591" spans="4:18">
      <c r="D591" s="186"/>
      <c r="E591" s="480"/>
      <c r="F591" s="186"/>
      <c r="G591" s="186"/>
      <c r="H591" s="186"/>
      <c r="I591" s="186"/>
      <c r="J591" s="186"/>
      <c r="L591" s="186"/>
      <c r="M591" s="186"/>
      <c r="N591" s="186"/>
      <c r="Q591" s="186"/>
      <c r="R591" s="186"/>
    </row>
    <row r="592" spans="4:18">
      <c r="D592" s="186"/>
      <c r="E592" s="480"/>
      <c r="F592" s="186"/>
      <c r="G592" s="186"/>
      <c r="H592" s="186"/>
      <c r="I592" s="186"/>
      <c r="J592" s="186"/>
      <c r="L592" s="186"/>
      <c r="M592" s="186"/>
      <c r="N592" s="186"/>
      <c r="Q592" s="186"/>
      <c r="R592" s="186"/>
    </row>
    <row r="593" spans="4:18">
      <c r="D593" s="186"/>
      <c r="E593" s="480"/>
      <c r="F593" s="186"/>
      <c r="G593" s="186"/>
      <c r="H593" s="186"/>
      <c r="I593" s="186"/>
      <c r="J593" s="186"/>
      <c r="L593" s="186"/>
      <c r="M593" s="186"/>
      <c r="N593" s="186"/>
      <c r="Q593" s="186"/>
      <c r="R593" s="186"/>
    </row>
    <row r="594" spans="4:18">
      <c r="D594" s="186"/>
      <c r="E594" s="480"/>
      <c r="F594" s="186"/>
      <c r="G594" s="186"/>
      <c r="H594" s="186"/>
      <c r="I594" s="186"/>
      <c r="J594" s="186"/>
      <c r="L594" s="186"/>
      <c r="M594" s="186"/>
      <c r="N594" s="186"/>
      <c r="Q594" s="186"/>
      <c r="R594" s="186"/>
    </row>
    <row r="595" spans="4:18">
      <c r="D595" s="186"/>
      <c r="E595" s="480"/>
      <c r="F595" s="186"/>
      <c r="G595" s="186"/>
      <c r="H595" s="186"/>
      <c r="I595" s="186"/>
      <c r="J595" s="186"/>
      <c r="L595" s="186"/>
      <c r="M595" s="186"/>
      <c r="N595" s="186"/>
      <c r="Q595" s="186"/>
      <c r="R595" s="186"/>
    </row>
    <row r="596" spans="4:18">
      <c r="D596" s="186"/>
      <c r="E596" s="480"/>
      <c r="F596" s="186"/>
      <c r="G596" s="186"/>
      <c r="H596" s="186"/>
      <c r="I596" s="186"/>
      <c r="J596" s="186"/>
      <c r="L596" s="186"/>
      <c r="M596" s="186"/>
      <c r="N596" s="186"/>
      <c r="Q596" s="186"/>
      <c r="R596" s="186"/>
    </row>
    <row r="597" spans="4:18">
      <c r="D597" s="186"/>
      <c r="E597" s="480"/>
      <c r="F597" s="186"/>
      <c r="G597" s="186"/>
      <c r="H597" s="186"/>
      <c r="I597" s="186"/>
      <c r="J597" s="186"/>
      <c r="L597" s="186"/>
      <c r="M597" s="186"/>
      <c r="N597" s="186"/>
      <c r="Q597" s="186"/>
      <c r="R597" s="186"/>
    </row>
    <row r="598" spans="4:18">
      <c r="D598" s="186"/>
      <c r="E598" s="480"/>
      <c r="F598" s="186"/>
      <c r="G598" s="186"/>
      <c r="H598" s="186"/>
      <c r="I598" s="186"/>
      <c r="J598" s="186"/>
      <c r="L598" s="186"/>
      <c r="M598" s="186"/>
      <c r="N598" s="186"/>
      <c r="Q598" s="186"/>
      <c r="R598" s="186"/>
    </row>
    <row r="599" spans="4:18">
      <c r="D599" s="186"/>
      <c r="E599" s="480"/>
      <c r="F599" s="186"/>
      <c r="G599" s="186"/>
      <c r="H599" s="186"/>
      <c r="I599" s="186"/>
      <c r="J599" s="186"/>
      <c r="L599" s="186"/>
      <c r="M599" s="186"/>
      <c r="N599" s="186"/>
      <c r="Q599" s="186"/>
      <c r="R599" s="186"/>
    </row>
    <row r="600" spans="4:18">
      <c r="D600" s="186"/>
      <c r="E600" s="480"/>
      <c r="F600" s="186"/>
      <c r="G600" s="186"/>
      <c r="H600" s="186"/>
      <c r="I600" s="186"/>
      <c r="J600" s="186"/>
      <c r="L600" s="186"/>
      <c r="M600" s="186"/>
      <c r="N600" s="186"/>
      <c r="Q600" s="186"/>
      <c r="R600" s="186"/>
    </row>
    <row r="601" spans="4:18">
      <c r="D601" s="186"/>
      <c r="E601" s="480"/>
      <c r="F601" s="186"/>
      <c r="G601" s="186"/>
      <c r="H601" s="186"/>
      <c r="I601" s="186"/>
      <c r="J601" s="186"/>
      <c r="L601" s="186"/>
      <c r="M601" s="186"/>
      <c r="N601" s="186"/>
      <c r="Q601" s="186"/>
      <c r="R601" s="186"/>
    </row>
    <row r="602" spans="4:18">
      <c r="D602" s="186"/>
      <c r="E602" s="480"/>
      <c r="F602" s="186"/>
      <c r="G602" s="186"/>
      <c r="H602" s="186"/>
      <c r="I602" s="186"/>
      <c r="J602" s="186"/>
      <c r="L602" s="186"/>
      <c r="M602" s="186"/>
      <c r="N602" s="186"/>
      <c r="Q602" s="186"/>
      <c r="R602" s="186"/>
    </row>
    <row r="603" spans="4:18">
      <c r="D603" s="186"/>
      <c r="E603" s="480"/>
      <c r="F603" s="186"/>
      <c r="G603" s="186"/>
      <c r="H603" s="186"/>
      <c r="I603" s="186"/>
      <c r="J603" s="186"/>
      <c r="L603" s="186"/>
      <c r="M603" s="186"/>
      <c r="N603" s="186"/>
      <c r="Q603" s="186"/>
      <c r="R603" s="186"/>
    </row>
    <row r="604" spans="4:18">
      <c r="D604" s="186"/>
      <c r="E604" s="480"/>
      <c r="F604" s="186"/>
      <c r="G604" s="186"/>
      <c r="H604" s="186"/>
      <c r="I604" s="186"/>
      <c r="J604" s="186"/>
      <c r="L604" s="186"/>
      <c r="M604" s="186"/>
      <c r="N604" s="186"/>
      <c r="Q604" s="186"/>
      <c r="R604" s="186"/>
    </row>
    <row r="605" spans="4:18">
      <c r="D605" s="186"/>
      <c r="E605" s="480"/>
      <c r="F605" s="186"/>
      <c r="G605" s="186"/>
      <c r="H605" s="186"/>
      <c r="I605" s="186"/>
      <c r="J605" s="186"/>
      <c r="L605" s="186"/>
      <c r="M605" s="186"/>
      <c r="N605" s="186"/>
      <c r="Q605" s="186"/>
      <c r="R605" s="186"/>
    </row>
    <row r="606" spans="4:18">
      <c r="D606" s="186"/>
      <c r="E606" s="480"/>
      <c r="F606" s="186"/>
      <c r="G606" s="186"/>
      <c r="H606" s="186"/>
      <c r="I606" s="186"/>
      <c r="J606" s="186"/>
      <c r="L606" s="186"/>
      <c r="M606" s="186"/>
      <c r="N606" s="186"/>
      <c r="Q606" s="186"/>
      <c r="R606" s="186"/>
    </row>
    <row r="607" spans="4:18">
      <c r="D607" s="186"/>
      <c r="E607" s="480"/>
      <c r="F607" s="186"/>
      <c r="G607" s="186"/>
      <c r="H607" s="186"/>
      <c r="I607" s="186"/>
      <c r="J607" s="186"/>
      <c r="L607" s="186"/>
      <c r="M607" s="186"/>
      <c r="N607" s="186"/>
      <c r="Q607" s="186"/>
      <c r="R607" s="186"/>
    </row>
    <row r="608" spans="4:18">
      <c r="D608" s="186"/>
      <c r="E608" s="480"/>
      <c r="F608" s="186"/>
      <c r="G608" s="186"/>
      <c r="H608" s="186"/>
      <c r="I608" s="186"/>
      <c r="J608" s="186"/>
      <c r="L608" s="186"/>
      <c r="M608" s="186"/>
      <c r="N608" s="186"/>
      <c r="Q608" s="186"/>
      <c r="R608" s="186"/>
    </row>
    <row r="609" spans="4:18">
      <c r="D609" s="186"/>
      <c r="E609" s="480"/>
      <c r="F609" s="186"/>
      <c r="G609" s="186"/>
      <c r="H609" s="186"/>
      <c r="I609" s="186"/>
      <c r="J609" s="186"/>
      <c r="L609" s="186"/>
      <c r="M609" s="186"/>
      <c r="N609" s="186"/>
      <c r="Q609" s="186"/>
      <c r="R609" s="186"/>
    </row>
    <row r="610" spans="4:18">
      <c r="D610" s="186"/>
      <c r="E610" s="480"/>
      <c r="F610" s="186"/>
      <c r="G610" s="186"/>
      <c r="H610" s="186"/>
      <c r="I610" s="186"/>
      <c r="J610" s="186"/>
      <c r="L610" s="186"/>
      <c r="M610" s="186"/>
      <c r="N610" s="186"/>
      <c r="Q610" s="186"/>
      <c r="R610" s="186"/>
    </row>
    <row r="611" spans="4:18">
      <c r="D611" s="186"/>
      <c r="E611" s="480"/>
      <c r="F611" s="186"/>
      <c r="G611" s="186"/>
      <c r="H611" s="186"/>
      <c r="I611" s="186"/>
      <c r="J611" s="186"/>
      <c r="L611" s="186"/>
      <c r="M611" s="186"/>
      <c r="N611" s="186"/>
      <c r="Q611" s="186"/>
      <c r="R611" s="186"/>
    </row>
    <row r="612" spans="4:18">
      <c r="D612" s="186"/>
      <c r="E612" s="480"/>
      <c r="F612" s="186"/>
      <c r="G612" s="186"/>
      <c r="H612" s="186"/>
      <c r="I612" s="186"/>
      <c r="J612" s="186"/>
      <c r="L612" s="186"/>
      <c r="M612" s="186"/>
      <c r="N612" s="186"/>
      <c r="Q612" s="186"/>
      <c r="R612" s="186"/>
    </row>
    <row r="613" spans="4:18">
      <c r="D613" s="186"/>
      <c r="E613" s="480"/>
      <c r="F613" s="186"/>
      <c r="G613" s="186"/>
      <c r="H613" s="186"/>
      <c r="I613" s="186"/>
      <c r="J613" s="186"/>
      <c r="L613" s="186"/>
      <c r="M613" s="186"/>
      <c r="N613" s="186"/>
      <c r="Q613" s="186"/>
      <c r="R613" s="186"/>
    </row>
    <row r="614" spans="4:18">
      <c r="D614" s="186"/>
      <c r="E614" s="480"/>
      <c r="F614" s="186"/>
      <c r="G614" s="186"/>
      <c r="H614" s="186"/>
      <c r="I614" s="186"/>
      <c r="J614" s="186"/>
      <c r="L614" s="186"/>
      <c r="M614" s="186"/>
      <c r="N614" s="186"/>
      <c r="Q614" s="186"/>
      <c r="R614" s="186"/>
    </row>
    <row r="615" spans="4:18">
      <c r="D615" s="186"/>
      <c r="E615" s="480"/>
      <c r="F615" s="186"/>
      <c r="G615" s="186"/>
      <c r="H615" s="186"/>
      <c r="I615" s="186"/>
      <c r="J615" s="186"/>
      <c r="L615" s="186"/>
      <c r="M615" s="186"/>
      <c r="N615" s="186"/>
      <c r="Q615" s="186"/>
      <c r="R615" s="186"/>
    </row>
    <row r="616" spans="4:18">
      <c r="D616" s="186"/>
      <c r="E616" s="480"/>
      <c r="F616" s="186"/>
      <c r="G616" s="186"/>
      <c r="H616" s="186"/>
      <c r="I616" s="186"/>
      <c r="J616" s="186"/>
      <c r="L616" s="186"/>
      <c r="M616" s="186"/>
      <c r="N616" s="186"/>
      <c r="Q616" s="186"/>
      <c r="R616" s="186"/>
    </row>
    <row r="617" spans="4:18">
      <c r="D617" s="186"/>
      <c r="E617" s="480"/>
      <c r="F617" s="186"/>
      <c r="G617" s="186"/>
      <c r="H617" s="186"/>
      <c r="I617" s="186"/>
      <c r="J617" s="186"/>
      <c r="L617" s="186"/>
      <c r="M617" s="186"/>
      <c r="N617" s="186"/>
      <c r="Q617" s="186"/>
      <c r="R617" s="186"/>
    </row>
    <row r="618" spans="4:18">
      <c r="D618" s="186"/>
      <c r="E618" s="480"/>
      <c r="F618" s="186"/>
      <c r="G618" s="186"/>
      <c r="H618" s="186"/>
      <c r="I618" s="186"/>
      <c r="J618" s="186"/>
      <c r="L618" s="186"/>
      <c r="M618" s="186"/>
      <c r="N618" s="186"/>
      <c r="Q618" s="186"/>
      <c r="R618" s="186"/>
    </row>
    <row r="619" spans="4:18">
      <c r="D619" s="186"/>
      <c r="E619" s="480"/>
      <c r="F619" s="186"/>
      <c r="G619" s="186"/>
      <c r="H619" s="186"/>
      <c r="I619" s="186"/>
      <c r="J619" s="186"/>
      <c r="L619" s="186"/>
      <c r="M619" s="186"/>
      <c r="N619" s="186"/>
      <c r="Q619" s="186"/>
      <c r="R619" s="186"/>
    </row>
    <row r="620" spans="4:18">
      <c r="D620" s="186"/>
      <c r="E620" s="480"/>
      <c r="F620" s="186"/>
      <c r="G620" s="186"/>
      <c r="H620" s="186"/>
      <c r="I620" s="186"/>
      <c r="J620" s="186"/>
      <c r="L620" s="186"/>
      <c r="M620" s="186"/>
      <c r="N620" s="186"/>
      <c r="Q620" s="186"/>
      <c r="R620" s="186"/>
    </row>
    <row r="621" spans="4:18">
      <c r="D621" s="186"/>
      <c r="E621" s="480"/>
      <c r="F621" s="186"/>
      <c r="G621" s="186"/>
      <c r="H621" s="186"/>
      <c r="I621" s="186"/>
      <c r="J621" s="186"/>
      <c r="L621" s="186"/>
      <c r="M621" s="186"/>
      <c r="N621" s="186"/>
      <c r="Q621" s="186"/>
      <c r="R621" s="186"/>
    </row>
    <row r="622" spans="4:18">
      <c r="D622" s="186"/>
      <c r="E622" s="480"/>
      <c r="F622" s="186"/>
      <c r="G622" s="186"/>
      <c r="H622" s="186"/>
      <c r="I622" s="186"/>
      <c r="J622" s="186"/>
      <c r="L622" s="186"/>
      <c r="M622" s="186"/>
      <c r="N622" s="186"/>
      <c r="Q622" s="186"/>
      <c r="R622" s="186"/>
    </row>
    <row r="623" spans="4:18">
      <c r="D623" s="186"/>
      <c r="E623" s="480"/>
      <c r="F623" s="186"/>
      <c r="G623" s="186"/>
      <c r="H623" s="186"/>
      <c r="I623" s="186"/>
      <c r="J623" s="186"/>
      <c r="L623" s="186"/>
      <c r="M623" s="186"/>
      <c r="N623" s="186"/>
      <c r="Q623" s="186"/>
      <c r="R623" s="186"/>
    </row>
    <row r="624" spans="4:18">
      <c r="D624" s="186"/>
      <c r="E624" s="480"/>
      <c r="F624" s="186"/>
      <c r="G624" s="186"/>
      <c r="H624" s="186"/>
      <c r="I624" s="186"/>
      <c r="J624" s="186"/>
      <c r="L624" s="186"/>
      <c r="M624" s="186"/>
      <c r="N624" s="186"/>
      <c r="Q624" s="186"/>
      <c r="R624" s="186"/>
    </row>
    <row r="625" spans="4:18">
      <c r="D625" s="186"/>
      <c r="E625" s="480"/>
      <c r="F625" s="186"/>
      <c r="G625" s="186"/>
      <c r="H625" s="186"/>
      <c r="I625" s="186"/>
      <c r="J625" s="186"/>
      <c r="L625" s="186"/>
      <c r="M625" s="186"/>
      <c r="N625" s="186"/>
      <c r="Q625" s="186"/>
      <c r="R625" s="186"/>
    </row>
    <row r="626" spans="4:18">
      <c r="D626" s="186"/>
      <c r="E626" s="480"/>
      <c r="F626" s="186"/>
      <c r="G626" s="186"/>
      <c r="H626" s="186"/>
      <c r="I626" s="186"/>
      <c r="J626" s="186"/>
      <c r="L626" s="186"/>
      <c r="M626" s="186"/>
      <c r="N626" s="186"/>
      <c r="Q626" s="186"/>
      <c r="R626" s="186"/>
    </row>
    <row r="627" spans="4:18">
      <c r="D627" s="186"/>
      <c r="E627" s="480"/>
      <c r="F627" s="186"/>
      <c r="G627" s="186"/>
      <c r="H627" s="186"/>
      <c r="I627" s="186"/>
      <c r="J627" s="186"/>
      <c r="L627" s="186"/>
      <c r="M627" s="186"/>
      <c r="N627" s="186"/>
      <c r="Q627" s="186"/>
      <c r="R627" s="186"/>
    </row>
    <row r="628" spans="4:18">
      <c r="D628" s="186"/>
      <c r="E628" s="480"/>
      <c r="F628" s="186"/>
      <c r="G628" s="186"/>
      <c r="H628" s="186"/>
      <c r="I628" s="186"/>
      <c r="J628" s="186"/>
      <c r="L628" s="186"/>
      <c r="M628" s="186"/>
      <c r="N628" s="186"/>
      <c r="Q628" s="186"/>
      <c r="R628" s="186"/>
    </row>
    <row r="629" spans="4:18">
      <c r="D629" s="186"/>
      <c r="E629" s="480"/>
      <c r="F629" s="186"/>
      <c r="G629" s="186"/>
      <c r="H629" s="186"/>
      <c r="I629" s="186"/>
      <c r="J629" s="186"/>
      <c r="L629" s="186"/>
      <c r="M629" s="186"/>
      <c r="N629" s="186"/>
      <c r="Q629" s="186"/>
      <c r="R629" s="186"/>
    </row>
    <row r="630" spans="4:18">
      <c r="D630" s="186"/>
      <c r="E630" s="480"/>
      <c r="F630" s="186"/>
      <c r="G630" s="186"/>
      <c r="H630" s="186"/>
      <c r="I630" s="186"/>
      <c r="J630" s="186"/>
      <c r="L630" s="186"/>
      <c r="M630" s="186"/>
      <c r="N630" s="186"/>
      <c r="Q630" s="186"/>
      <c r="R630" s="186"/>
    </row>
    <row r="631" spans="4:18">
      <c r="D631" s="186"/>
      <c r="E631" s="480"/>
      <c r="F631" s="186"/>
      <c r="G631" s="186"/>
      <c r="H631" s="186"/>
      <c r="I631" s="186"/>
      <c r="J631" s="186"/>
      <c r="L631" s="186"/>
      <c r="M631" s="186"/>
      <c r="N631" s="186"/>
      <c r="Q631" s="186"/>
      <c r="R631" s="186"/>
    </row>
    <row r="632" spans="4:18">
      <c r="D632" s="186"/>
      <c r="E632" s="480"/>
      <c r="F632" s="186"/>
      <c r="G632" s="186"/>
      <c r="H632" s="186"/>
      <c r="I632" s="186"/>
      <c r="J632" s="186"/>
      <c r="L632" s="186"/>
      <c r="M632" s="186"/>
      <c r="N632" s="186"/>
      <c r="Q632" s="186"/>
      <c r="R632" s="186"/>
    </row>
    <row r="633" spans="4:18">
      <c r="D633" s="186"/>
      <c r="E633" s="480"/>
      <c r="F633" s="186"/>
      <c r="G633" s="186"/>
      <c r="H633" s="186"/>
      <c r="I633" s="186"/>
      <c r="J633" s="186"/>
      <c r="L633" s="186"/>
      <c r="M633" s="186"/>
      <c r="N633" s="186"/>
      <c r="Q633" s="186"/>
      <c r="R633" s="186"/>
    </row>
    <row r="634" spans="4:18">
      <c r="D634" s="186"/>
      <c r="E634" s="480"/>
      <c r="F634" s="186"/>
      <c r="G634" s="186"/>
      <c r="H634" s="186"/>
      <c r="I634" s="186"/>
      <c r="J634" s="186"/>
      <c r="L634" s="186"/>
      <c r="M634" s="186"/>
      <c r="N634" s="186"/>
      <c r="Q634" s="186"/>
      <c r="R634" s="186"/>
    </row>
    <row r="635" spans="4:18">
      <c r="D635" s="186"/>
      <c r="E635" s="480"/>
      <c r="F635" s="186"/>
      <c r="G635" s="186"/>
      <c r="H635" s="186"/>
      <c r="I635" s="186"/>
      <c r="J635" s="186"/>
      <c r="L635" s="186"/>
      <c r="M635" s="186"/>
      <c r="N635" s="186"/>
      <c r="Q635" s="186"/>
      <c r="R635" s="186"/>
    </row>
    <row r="636" spans="4:18">
      <c r="D636" s="186"/>
      <c r="E636" s="480"/>
      <c r="F636" s="186"/>
      <c r="G636" s="186"/>
      <c r="H636" s="186"/>
      <c r="I636" s="186"/>
      <c r="J636" s="186"/>
      <c r="L636" s="186"/>
      <c r="M636" s="186"/>
      <c r="N636" s="186"/>
      <c r="Q636" s="186"/>
      <c r="R636" s="186"/>
    </row>
    <row r="637" spans="4:18">
      <c r="D637" s="186"/>
      <c r="E637" s="480"/>
      <c r="F637" s="186"/>
      <c r="G637" s="186"/>
      <c r="H637" s="186"/>
      <c r="I637" s="186"/>
      <c r="J637" s="186"/>
      <c r="L637" s="186"/>
      <c r="M637" s="186"/>
      <c r="N637" s="186"/>
      <c r="Q637" s="186"/>
      <c r="R637" s="186"/>
    </row>
    <row r="638" spans="4:18">
      <c r="D638" s="186"/>
      <c r="E638" s="480"/>
      <c r="F638" s="186"/>
      <c r="G638" s="186"/>
      <c r="H638" s="186"/>
      <c r="I638" s="186"/>
      <c r="J638" s="186"/>
      <c r="L638" s="186"/>
      <c r="M638" s="186"/>
      <c r="N638" s="186"/>
      <c r="Q638" s="186"/>
      <c r="R638" s="186"/>
    </row>
    <row r="639" spans="4:18">
      <c r="D639" s="186"/>
      <c r="E639" s="480"/>
      <c r="F639" s="186"/>
      <c r="G639" s="186"/>
      <c r="H639" s="186"/>
      <c r="I639" s="186"/>
      <c r="J639" s="186"/>
      <c r="L639" s="186"/>
      <c r="M639" s="186"/>
      <c r="N639" s="186"/>
      <c r="Q639" s="186"/>
      <c r="R639" s="186"/>
    </row>
    <row r="640" spans="4:18">
      <c r="D640" s="186"/>
      <c r="E640" s="480"/>
      <c r="F640" s="186"/>
      <c r="G640" s="186"/>
      <c r="H640" s="186"/>
      <c r="I640" s="186"/>
      <c r="J640" s="186"/>
      <c r="L640" s="186"/>
      <c r="M640" s="186"/>
      <c r="N640" s="186"/>
      <c r="Q640" s="186"/>
      <c r="R640" s="186"/>
    </row>
    <row r="641" spans="4:18">
      <c r="D641" s="186"/>
      <c r="E641" s="480"/>
      <c r="F641" s="186"/>
      <c r="G641" s="186"/>
      <c r="H641" s="186"/>
      <c r="I641" s="186"/>
      <c r="J641" s="186"/>
      <c r="L641" s="186"/>
      <c r="M641" s="186"/>
      <c r="N641" s="186"/>
      <c r="Q641" s="186"/>
      <c r="R641" s="186"/>
    </row>
    <row r="642" spans="4:18">
      <c r="D642" s="186"/>
      <c r="E642" s="480"/>
      <c r="F642" s="186"/>
      <c r="G642" s="186"/>
      <c r="H642" s="186"/>
      <c r="I642" s="186"/>
      <c r="J642" s="186"/>
      <c r="L642" s="186"/>
      <c r="M642" s="186"/>
      <c r="N642" s="186"/>
      <c r="Q642" s="186"/>
      <c r="R642" s="186"/>
    </row>
    <row r="643" spans="4:18">
      <c r="D643" s="186"/>
      <c r="E643" s="480"/>
      <c r="F643" s="186"/>
      <c r="G643" s="186"/>
      <c r="H643" s="186"/>
      <c r="I643" s="186"/>
      <c r="J643" s="186"/>
      <c r="L643" s="186"/>
      <c r="M643" s="186"/>
      <c r="N643" s="186"/>
      <c r="Q643" s="186"/>
      <c r="R643" s="186"/>
    </row>
    <row r="644" spans="4:18">
      <c r="D644" s="186"/>
      <c r="E644" s="480"/>
      <c r="F644" s="186"/>
      <c r="G644" s="186"/>
      <c r="H644" s="186"/>
      <c r="I644" s="186"/>
      <c r="J644" s="186"/>
      <c r="L644" s="186"/>
      <c r="M644" s="186"/>
      <c r="N644" s="186"/>
      <c r="Q644" s="186"/>
      <c r="R644" s="186"/>
    </row>
    <row r="645" spans="4:18">
      <c r="D645" s="186"/>
      <c r="E645" s="480"/>
      <c r="F645" s="186"/>
      <c r="G645" s="186"/>
      <c r="H645" s="186"/>
      <c r="I645" s="186"/>
      <c r="J645" s="186"/>
      <c r="L645" s="186"/>
      <c r="M645" s="186"/>
      <c r="N645" s="186"/>
      <c r="Q645" s="186"/>
      <c r="R645" s="186"/>
    </row>
    <row r="646" spans="4:18">
      <c r="D646" s="186"/>
      <c r="E646" s="480"/>
      <c r="F646" s="186"/>
      <c r="G646" s="186"/>
      <c r="H646" s="186"/>
      <c r="I646" s="186"/>
      <c r="J646" s="186"/>
      <c r="L646" s="186"/>
      <c r="M646" s="186"/>
      <c r="N646" s="186"/>
      <c r="Q646" s="186"/>
      <c r="R646" s="186"/>
    </row>
    <row r="647" spans="4:18">
      <c r="D647" s="186"/>
      <c r="E647" s="480"/>
      <c r="F647" s="186"/>
      <c r="G647" s="186"/>
      <c r="H647" s="186"/>
      <c r="I647" s="186"/>
      <c r="J647" s="186"/>
      <c r="L647" s="186"/>
      <c r="M647" s="186"/>
      <c r="N647" s="186"/>
      <c r="Q647" s="186"/>
      <c r="R647" s="186"/>
    </row>
    <row r="648" spans="4:18">
      <c r="D648" s="186"/>
      <c r="E648" s="480"/>
      <c r="F648" s="186"/>
      <c r="G648" s="186"/>
      <c r="H648" s="186"/>
      <c r="I648" s="186"/>
      <c r="J648" s="186"/>
      <c r="L648" s="186"/>
      <c r="M648" s="186"/>
      <c r="N648" s="186"/>
      <c r="Q648" s="186"/>
      <c r="R648" s="186"/>
    </row>
    <row r="649" spans="4:18">
      <c r="D649" s="186"/>
      <c r="E649" s="480"/>
      <c r="F649" s="186"/>
      <c r="G649" s="186"/>
      <c r="H649" s="186"/>
      <c r="I649" s="186"/>
      <c r="J649" s="186"/>
      <c r="L649" s="186"/>
      <c r="M649" s="186"/>
      <c r="N649" s="186"/>
      <c r="Q649" s="186"/>
      <c r="R649" s="186"/>
    </row>
    <row r="650" spans="4:18">
      <c r="D650" s="186"/>
      <c r="E650" s="480"/>
      <c r="F650" s="186"/>
      <c r="G650" s="186"/>
      <c r="H650" s="186"/>
      <c r="I650" s="186"/>
      <c r="J650" s="186"/>
      <c r="L650" s="186"/>
      <c r="M650" s="186"/>
      <c r="N650" s="186"/>
      <c r="Q650" s="186"/>
      <c r="R650" s="186"/>
    </row>
    <row r="651" spans="4:18">
      <c r="D651" s="186"/>
      <c r="E651" s="480"/>
      <c r="F651" s="186"/>
      <c r="G651" s="186"/>
      <c r="H651" s="186"/>
      <c r="I651" s="186"/>
      <c r="J651" s="186"/>
      <c r="L651" s="186"/>
      <c r="M651" s="186"/>
      <c r="N651" s="186"/>
      <c r="Q651" s="186"/>
      <c r="R651" s="186"/>
    </row>
    <row r="652" spans="4:18">
      <c r="D652" s="186"/>
      <c r="E652" s="480"/>
      <c r="F652" s="186"/>
      <c r="G652" s="186"/>
      <c r="H652" s="186"/>
      <c r="I652" s="186"/>
      <c r="J652" s="186"/>
      <c r="L652" s="186"/>
      <c r="M652" s="186"/>
      <c r="N652" s="186"/>
      <c r="Q652" s="186"/>
      <c r="R652" s="186"/>
    </row>
    <row r="653" spans="4:18">
      <c r="D653" s="186"/>
      <c r="E653" s="480"/>
      <c r="F653" s="186"/>
      <c r="G653" s="186"/>
      <c r="H653" s="186"/>
      <c r="I653" s="186"/>
      <c r="J653" s="186"/>
      <c r="L653" s="186"/>
      <c r="M653" s="186"/>
      <c r="N653" s="186"/>
      <c r="Q653" s="186"/>
      <c r="R653" s="186"/>
    </row>
    <row r="654" spans="4:18">
      <c r="D654" s="186"/>
      <c r="E654" s="480"/>
      <c r="F654" s="186"/>
      <c r="G654" s="186"/>
      <c r="H654" s="186"/>
      <c r="I654" s="186"/>
      <c r="J654" s="186"/>
      <c r="L654" s="186"/>
      <c r="M654" s="186"/>
      <c r="N654" s="186"/>
      <c r="Q654" s="186"/>
      <c r="R654" s="186"/>
    </row>
    <row r="655" spans="4:18">
      <c r="D655" s="186"/>
      <c r="E655" s="480"/>
      <c r="F655" s="186"/>
      <c r="G655" s="186"/>
      <c r="H655" s="186"/>
      <c r="I655" s="186"/>
      <c r="J655" s="186"/>
      <c r="L655" s="186"/>
      <c r="M655" s="186"/>
      <c r="N655" s="186"/>
      <c r="Q655" s="186"/>
      <c r="R655" s="186"/>
    </row>
    <row r="656" spans="4:18">
      <c r="D656" s="186"/>
      <c r="E656" s="480"/>
      <c r="F656" s="186"/>
      <c r="G656" s="186"/>
      <c r="H656" s="186"/>
      <c r="I656" s="186"/>
      <c r="J656" s="186"/>
      <c r="L656" s="186"/>
      <c r="M656" s="186"/>
      <c r="N656" s="186"/>
      <c r="Q656" s="186"/>
      <c r="R656" s="186"/>
    </row>
    <row r="657" spans="4:18">
      <c r="D657" s="186"/>
      <c r="E657" s="480"/>
      <c r="F657" s="186"/>
      <c r="G657" s="186"/>
      <c r="H657" s="186"/>
      <c r="I657" s="186"/>
      <c r="J657" s="186"/>
      <c r="L657" s="186"/>
      <c r="M657" s="186"/>
      <c r="N657" s="186"/>
      <c r="Q657" s="186"/>
      <c r="R657" s="186"/>
    </row>
    <row r="658" spans="4:18">
      <c r="D658" s="186"/>
      <c r="E658" s="480"/>
      <c r="F658" s="186"/>
      <c r="G658" s="186"/>
      <c r="H658" s="186"/>
      <c r="I658" s="186"/>
      <c r="J658" s="186"/>
      <c r="L658" s="186"/>
      <c r="M658" s="186"/>
      <c r="N658" s="186"/>
      <c r="Q658" s="186"/>
      <c r="R658" s="186"/>
    </row>
    <row r="659" spans="4:18">
      <c r="D659" s="186"/>
      <c r="E659" s="480"/>
      <c r="F659" s="186"/>
      <c r="G659" s="186"/>
      <c r="H659" s="186"/>
      <c r="I659" s="186"/>
      <c r="J659" s="186"/>
      <c r="L659" s="186"/>
      <c r="M659" s="186"/>
      <c r="N659" s="186"/>
      <c r="Q659" s="186"/>
      <c r="R659" s="186"/>
    </row>
    <row r="660" spans="4:18">
      <c r="D660" s="186"/>
      <c r="E660" s="480"/>
      <c r="F660" s="186"/>
      <c r="G660" s="186"/>
      <c r="H660" s="186"/>
      <c r="I660" s="186"/>
      <c r="J660" s="186"/>
      <c r="L660" s="186"/>
      <c r="M660" s="186"/>
      <c r="N660" s="186"/>
      <c r="Q660" s="186"/>
      <c r="R660" s="186"/>
    </row>
    <row r="661" spans="4:18">
      <c r="D661" s="186"/>
      <c r="E661" s="480"/>
      <c r="F661" s="186"/>
      <c r="G661" s="186"/>
      <c r="H661" s="186"/>
      <c r="I661" s="186"/>
      <c r="J661" s="186"/>
      <c r="L661" s="186"/>
      <c r="M661" s="186"/>
      <c r="N661" s="186"/>
      <c r="Q661" s="186"/>
      <c r="R661" s="186"/>
    </row>
    <row r="662" spans="4:18">
      <c r="D662" s="186"/>
      <c r="E662" s="480"/>
      <c r="F662" s="186"/>
      <c r="G662" s="186"/>
      <c r="H662" s="186"/>
      <c r="I662" s="186"/>
      <c r="J662" s="186"/>
      <c r="L662" s="186"/>
      <c r="M662" s="186"/>
      <c r="N662" s="186"/>
      <c r="Q662" s="186"/>
      <c r="R662" s="186"/>
    </row>
    <row r="663" spans="4:18">
      <c r="D663" s="186"/>
      <c r="E663" s="480"/>
      <c r="F663" s="186"/>
      <c r="G663" s="186"/>
      <c r="H663" s="186"/>
      <c r="I663" s="186"/>
      <c r="J663" s="186"/>
      <c r="L663" s="186"/>
      <c r="M663" s="186"/>
      <c r="N663" s="186"/>
      <c r="Q663" s="186"/>
      <c r="R663" s="186"/>
    </row>
    <row r="664" spans="4:18">
      <c r="D664" s="186"/>
      <c r="E664" s="480"/>
      <c r="F664" s="186"/>
      <c r="G664" s="186"/>
      <c r="H664" s="186"/>
      <c r="I664" s="186"/>
      <c r="J664" s="186"/>
      <c r="L664" s="186"/>
      <c r="M664" s="186"/>
      <c r="N664" s="186"/>
      <c r="Q664" s="186"/>
      <c r="R664" s="186"/>
    </row>
    <row r="665" spans="4:18">
      <c r="D665" s="186"/>
      <c r="E665" s="480"/>
      <c r="F665" s="186"/>
      <c r="G665" s="186"/>
      <c r="H665" s="186"/>
      <c r="I665" s="186"/>
      <c r="J665" s="186"/>
      <c r="L665" s="186"/>
      <c r="M665" s="186"/>
      <c r="N665" s="186"/>
      <c r="Q665" s="186"/>
      <c r="R665" s="186"/>
    </row>
    <row r="666" spans="4:18">
      <c r="D666" s="186"/>
      <c r="E666" s="480"/>
      <c r="F666" s="186"/>
      <c r="G666" s="186"/>
      <c r="H666" s="186"/>
      <c r="I666" s="186"/>
      <c r="J666" s="186"/>
      <c r="L666" s="186"/>
      <c r="M666" s="186"/>
      <c r="N666" s="186"/>
      <c r="Q666" s="186"/>
      <c r="R666" s="186"/>
    </row>
    <row r="667" spans="4:18">
      <c r="D667" s="186"/>
      <c r="E667" s="480"/>
      <c r="F667" s="186"/>
      <c r="G667" s="186"/>
      <c r="H667" s="186"/>
      <c r="I667" s="186"/>
      <c r="J667" s="186"/>
      <c r="L667" s="186"/>
      <c r="M667" s="186"/>
      <c r="N667" s="186"/>
      <c r="Q667" s="186"/>
      <c r="R667" s="186"/>
    </row>
    <row r="668" spans="4:18">
      <c r="D668" s="186"/>
      <c r="E668" s="480"/>
      <c r="F668" s="186"/>
      <c r="G668" s="186"/>
      <c r="H668" s="186"/>
      <c r="I668" s="186"/>
      <c r="J668" s="186"/>
      <c r="L668" s="186"/>
      <c r="M668" s="186"/>
      <c r="N668" s="186"/>
      <c r="Q668" s="186"/>
      <c r="R668" s="186"/>
    </row>
    <row r="669" spans="4:18">
      <c r="D669" s="186"/>
      <c r="E669" s="480"/>
      <c r="F669" s="186"/>
      <c r="G669" s="186"/>
      <c r="H669" s="186"/>
      <c r="I669" s="186"/>
      <c r="J669" s="186"/>
      <c r="L669" s="186"/>
      <c r="M669" s="186"/>
      <c r="N669" s="186"/>
      <c r="Q669" s="186"/>
      <c r="R669" s="186"/>
    </row>
    <row r="670" spans="4:18">
      <c r="D670" s="186"/>
      <c r="E670" s="480"/>
      <c r="F670" s="186"/>
      <c r="G670" s="186"/>
      <c r="H670" s="186"/>
      <c r="I670" s="186"/>
      <c r="J670" s="186"/>
      <c r="L670" s="186"/>
      <c r="M670" s="186"/>
      <c r="N670" s="186"/>
      <c r="Q670" s="186"/>
      <c r="R670" s="186"/>
    </row>
    <row r="671" spans="4:18">
      <c r="D671" s="186"/>
      <c r="E671" s="480"/>
      <c r="F671" s="186"/>
      <c r="G671" s="186"/>
      <c r="H671" s="186"/>
      <c r="I671" s="186"/>
      <c r="J671" s="186"/>
      <c r="L671" s="186"/>
      <c r="M671" s="186"/>
      <c r="N671" s="186"/>
      <c r="Q671" s="186"/>
      <c r="R671" s="186"/>
    </row>
    <row r="672" spans="4:18">
      <c r="D672" s="186"/>
      <c r="E672" s="480"/>
      <c r="F672" s="186"/>
      <c r="G672" s="186"/>
      <c r="H672" s="186"/>
      <c r="I672" s="186"/>
      <c r="J672" s="186"/>
      <c r="L672" s="186"/>
      <c r="M672" s="186"/>
      <c r="N672" s="186"/>
      <c r="Q672" s="186"/>
      <c r="R672" s="186"/>
    </row>
    <row r="673" spans="4:18">
      <c r="D673" s="186"/>
      <c r="E673" s="480"/>
      <c r="F673" s="186"/>
      <c r="G673" s="186"/>
      <c r="H673" s="186"/>
      <c r="I673" s="186"/>
      <c r="J673" s="186"/>
      <c r="L673" s="186"/>
      <c r="M673" s="186"/>
      <c r="N673" s="186"/>
      <c r="Q673" s="186"/>
      <c r="R673" s="186"/>
    </row>
    <row r="674" spans="4:18">
      <c r="D674" s="186"/>
      <c r="E674" s="480"/>
      <c r="F674" s="186"/>
      <c r="G674" s="186"/>
      <c r="H674" s="186"/>
      <c r="I674" s="186"/>
      <c r="J674" s="186"/>
      <c r="L674" s="186"/>
      <c r="M674" s="186"/>
      <c r="N674" s="186"/>
      <c r="Q674" s="186"/>
      <c r="R674" s="186"/>
    </row>
    <row r="675" spans="4:18">
      <c r="D675" s="186"/>
      <c r="E675" s="480"/>
      <c r="F675" s="186"/>
      <c r="G675" s="186"/>
      <c r="H675" s="186"/>
      <c r="I675" s="186"/>
      <c r="J675" s="186"/>
      <c r="L675" s="186"/>
      <c r="M675" s="186"/>
      <c r="N675" s="186"/>
      <c r="Q675" s="186"/>
      <c r="R675" s="186"/>
    </row>
    <row r="676" spans="4:18">
      <c r="D676" s="186"/>
      <c r="E676" s="480"/>
      <c r="F676" s="186"/>
      <c r="G676" s="186"/>
      <c r="H676" s="186"/>
      <c r="I676" s="186"/>
      <c r="J676" s="186"/>
      <c r="L676" s="186"/>
      <c r="M676" s="186"/>
      <c r="N676" s="186"/>
      <c r="Q676" s="186"/>
      <c r="R676" s="186"/>
    </row>
    <row r="677" spans="4:18">
      <c r="D677" s="186"/>
      <c r="E677" s="480"/>
      <c r="F677" s="186"/>
      <c r="G677" s="186"/>
      <c r="H677" s="186"/>
      <c r="I677" s="186"/>
      <c r="J677" s="186"/>
      <c r="L677" s="186"/>
      <c r="M677" s="186"/>
      <c r="N677" s="186"/>
      <c r="Q677" s="186"/>
      <c r="R677" s="186"/>
    </row>
    <row r="678" spans="4:18">
      <c r="D678" s="186"/>
      <c r="E678" s="480"/>
      <c r="F678" s="186"/>
      <c r="G678" s="186"/>
      <c r="H678" s="186"/>
      <c r="I678" s="186"/>
      <c r="J678" s="186"/>
      <c r="L678" s="186"/>
      <c r="M678" s="186"/>
      <c r="N678" s="186"/>
      <c r="Q678" s="186"/>
      <c r="R678" s="186"/>
    </row>
    <row r="679" spans="4:18">
      <c r="D679" s="186"/>
      <c r="E679" s="480"/>
      <c r="F679" s="186"/>
      <c r="G679" s="186"/>
      <c r="H679" s="186"/>
      <c r="I679" s="186"/>
      <c r="J679" s="186"/>
      <c r="L679" s="186"/>
      <c r="M679" s="186"/>
      <c r="N679" s="186"/>
      <c r="Q679" s="186"/>
      <c r="R679" s="186"/>
    </row>
    <row r="680" spans="4:18">
      <c r="D680" s="186"/>
      <c r="E680" s="480"/>
      <c r="F680" s="186"/>
      <c r="G680" s="186"/>
      <c r="H680" s="186"/>
      <c r="I680" s="186"/>
      <c r="J680" s="186"/>
      <c r="L680" s="186"/>
      <c r="M680" s="186"/>
      <c r="N680" s="186"/>
      <c r="Q680" s="186"/>
      <c r="R680" s="186"/>
    </row>
    <row r="681" spans="4:18">
      <c r="D681" s="186"/>
      <c r="E681" s="480"/>
      <c r="F681" s="186"/>
      <c r="G681" s="186"/>
      <c r="H681" s="186"/>
      <c r="I681" s="186"/>
      <c r="J681" s="186"/>
      <c r="L681" s="186"/>
      <c r="M681" s="186"/>
      <c r="N681" s="186"/>
      <c r="Q681" s="186"/>
      <c r="R681" s="186"/>
    </row>
    <row r="682" spans="4:18">
      <c r="D682" s="186"/>
      <c r="E682" s="480"/>
      <c r="F682" s="186"/>
      <c r="G682" s="186"/>
      <c r="H682" s="186"/>
      <c r="I682" s="186"/>
      <c r="J682" s="186"/>
      <c r="L682" s="186"/>
      <c r="M682" s="186"/>
      <c r="N682" s="186"/>
      <c r="Q682" s="186"/>
      <c r="R682" s="186"/>
    </row>
    <row r="683" spans="4:18">
      <c r="D683" s="186"/>
      <c r="E683" s="480"/>
      <c r="F683" s="186"/>
      <c r="G683" s="186"/>
      <c r="H683" s="186"/>
      <c r="I683" s="186"/>
      <c r="J683" s="186"/>
      <c r="L683" s="186"/>
      <c r="M683" s="186"/>
      <c r="N683" s="186"/>
      <c r="Q683" s="186"/>
      <c r="R683" s="186"/>
    </row>
    <row r="684" spans="4:18">
      <c r="D684" s="186"/>
      <c r="E684" s="480"/>
      <c r="F684" s="186"/>
      <c r="G684" s="186"/>
      <c r="H684" s="186"/>
      <c r="I684" s="186"/>
      <c r="J684" s="186"/>
      <c r="L684" s="186"/>
      <c r="M684" s="186"/>
      <c r="N684" s="186"/>
      <c r="Q684" s="186"/>
      <c r="R684" s="186"/>
    </row>
    <row r="685" spans="4:18">
      <c r="D685" s="186"/>
      <c r="E685" s="480"/>
      <c r="F685" s="186"/>
      <c r="G685" s="186"/>
      <c r="H685" s="186"/>
      <c r="I685" s="186"/>
      <c r="J685" s="186"/>
      <c r="L685" s="186"/>
      <c r="M685" s="186"/>
      <c r="N685" s="186"/>
      <c r="Q685" s="186"/>
      <c r="R685" s="186"/>
    </row>
    <row r="686" spans="4:18">
      <c r="D686" s="186"/>
      <c r="E686" s="480"/>
      <c r="F686" s="186"/>
      <c r="G686" s="186"/>
      <c r="H686" s="186"/>
      <c r="I686" s="186"/>
      <c r="J686" s="186"/>
      <c r="L686" s="186"/>
      <c r="M686" s="186"/>
      <c r="N686" s="186"/>
      <c r="Q686" s="186"/>
      <c r="R686" s="186"/>
    </row>
    <row r="687" spans="4:18">
      <c r="D687" s="186"/>
      <c r="E687" s="480"/>
      <c r="F687" s="186"/>
      <c r="G687" s="186"/>
      <c r="H687" s="186"/>
      <c r="I687" s="186"/>
      <c r="J687" s="186"/>
      <c r="L687" s="186"/>
      <c r="M687" s="186"/>
      <c r="N687" s="186"/>
      <c r="Q687" s="186"/>
      <c r="R687" s="186"/>
    </row>
    <row r="688" spans="4:18">
      <c r="D688" s="186"/>
      <c r="E688" s="480"/>
      <c r="F688" s="186"/>
      <c r="G688" s="186"/>
      <c r="H688" s="186"/>
      <c r="I688" s="186"/>
      <c r="J688" s="186"/>
      <c r="L688" s="186"/>
      <c r="M688" s="186"/>
      <c r="N688" s="186"/>
      <c r="Q688" s="186"/>
      <c r="R688" s="186"/>
    </row>
    <row r="689" spans="4:18">
      <c r="D689" s="186"/>
      <c r="E689" s="480"/>
      <c r="F689" s="186"/>
      <c r="G689" s="186"/>
      <c r="H689" s="186"/>
      <c r="I689" s="186"/>
      <c r="J689" s="186"/>
      <c r="L689" s="186"/>
      <c r="M689" s="186"/>
      <c r="N689" s="186"/>
      <c r="Q689" s="186"/>
      <c r="R689" s="186"/>
    </row>
    <row r="690" spans="4:18">
      <c r="D690" s="186"/>
      <c r="E690" s="480"/>
      <c r="F690" s="186"/>
      <c r="G690" s="186"/>
      <c r="H690" s="186"/>
      <c r="I690" s="186"/>
      <c r="J690" s="186"/>
      <c r="L690" s="186"/>
      <c r="M690" s="186"/>
      <c r="N690" s="186"/>
      <c r="Q690" s="186"/>
      <c r="R690" s="186"/>
    </row>
    <row r="691" spans="4:18">
      <c r="D691" s="186"/>
      <c r="E691" s="480"/>
      <c r="F691" s="186"/>
      <c r="G691" s="186"/>
      <c r="H691" s="186"/>
      <c r="I691" s="186"/>
      <c r="J691" s="186"/>
      <c r="L691" s="186"/>
      <c r="M691" s="186"/>
      <c r="N691" s="186"/>
      <c r="Q691" s="186"/>
      <c r="R691" s="186"/>
    </row>
    <row r="692" spans="4:18">
      <c r="D692" s="186"/>
      <c r="E692" s="480"/>
      <c r="F692" s="186"/>
      <c r="G692" s="186"/>
      <c r="H692" s="186"/>
      <c r="I692" s="186"/>
      <c r="J692" s="186"/>
      <c r="L692" s="186"/>
      <c r="M692" s="186"/>
      <c r="N692" s="186"/>
      <c r="Q692" s="186"/>
      <c r="R692" s="186"/>
    </row>
    <row r="693" spans="4:18">
      <c r="D693" s="186"/>
      <c r="E693" s="480"/>
      <c r="F693" s="186"/>
      <c r="G693" s="186"/>
      <c r="H693" s="186"/>
      <c r="I693" s="186"/>
      <c r="J693" s="186"/>
      <c r="L693" s="186"/>
      <c r="M693" s="186"/>
      <c r="N693" s="186"/>
      <c r="Q693" s="186"/>
      <c r="R693" s="186"/>
    </row>
    <row r="694" spans="4:18">
      <c r="D694" s="186"/>
      <c r="E694" s="480"/>
      <c r="F694" s="186"/>
      <c r="G694" s="186"/>
      <c r="H694" s="186"/>
      <c r="I694" s="186"/>
      <c r="J694" s="186"/>
      <c r="L694" s="186"/>
      <c r="M694" s="186"/>
      <c r="N694" s="186"/>
      <c r="Q694" s="186"/>
      <c r="R694" s="186"/>
    </row>
    <row r="695" spans="4:18">
      <c r="D695" s="186"/>
      <c r="E695" s="480"/>
      <c r="F695" s="186"/>
      <c r="G695" s="186"/>
      <c r="H695" s="186"/>
      <c r="I695" s="186"/>
      <c r="J695" s="186"/>
      <c r="L695" s="186"/>
      <c r="M695" s="186"/>
      <c r="N695" s="186"/>
      <c r="Q695" s="186"/>
      <c r="R695" s="186"/>
    </row>
    <row r="696" spans="4:18">
      <c r="D696" s="186"/>
      <c r="E696" s="480"/>
      <c r="F696" s="186"/>
      <c r="G696" s="186"/>
      <c r="H696" s="186"/>
      <c r="I696" s="186"/>
      <c r="J696" s="186"/>
      <c r="L696" s="186"/>
      <c r="M696" s="186"/>
      <c r="N696" s="186"/>
      <c r="Q696" s="186"/>
      <c r="R696" s="186"/>
    </row>
    <row r="697" spans="4:18">
      <c r="D697" s="186"/>
      <c r="E697" s="480"/>
      <c r="F697" s="186"/>
      <c r="G697" s="186"/>
      <c r="H697" s="186"/>
      <c r="I697" s="186"/>
      <c r="J697" s="186"/>
      <c r="L697" s="186"/>
      <c r="M697" s="186"/>
      <c r="N697" s="186"/>
      <c r="Q697" s="186"/>
      <c r="R697" s="186"/>
    </row>
    <row r="698" spans="4:18">
      <c r="D698" s="186"/>
      <c r="E698" s="480"/>
      <c r="F698" s="186"/>
      <c r="G698" s="186"/>
      <c r="H698" s="186"/>
      <c r="I698" s="186"/>
      <c r="J698" s="186"/>
      <c r="L698" s="186"/>
      <c r="M698" s="186"/>
      <c r="N698" s="186"/>
      <c r="Q698" s="186"/>
      <c r="R698" s="186"/>
    </row>
    <row r="699" spans="4:18">
      <c r="D699" s="186"/>
      <c r="E699" s="480"/>
      <c r="F699" s="186"/>
      <c r="G699" s="186"/>
      <c r="H699" s="186"/>
      <c r="I699" s="186"/>
      <c r="J699" s="186"/>
      <c r="L699" s="186"/>
      <c r="M699" s="186"/>
      <c r="N699" s="186"/>
      <c r="Q699" s="186"/>
      <c r="R699" s="186"/>
    </row>
    <row r="700" spans="4:18">
      <c r="D700" s="186"/>
      <c r="E700" s="480"/>
      <c r="F700" s="186"/>
      <c r="G700" s="186"/>
      <c r="H700" s="186"/>
      <c r="I700" s="186"/>
      <c r="J700" s="186"/>
      <c r="L700" s="186"/>
      <c r="M700" s="186"/>
      <c r="N700" s="186"/>
      <c r="Q700" s="186"/>
      <c r="R700" s="186"/>
    </row>
    <row r="701" spans="4:18">
      <c r="D701" s="186"/>
      <c r="E701" s="480"/>
      <c r="F701" s="186"/>
      <c r="G701" s="186"/>
      <c r="H701" s="186"/>
      <c r="I701" s="186"/>
      <c r="J701" s="186"/>
      <c r="L701" s="186"/>
      <c r="M701" s="186"/>
      <c r="N701" s="186"/>
      <c r="Q701" s="186"/>
      <c r="R701" s="186"/>
    </row>
    <row r="702" spans="4:18">
      <c r="D702" s="186"/>
      <c r="E702" s="480"/>
      <c r="F702" s="186"/>
      <c r="G702" s="186"/>
      <c r="H702" s="186"/>
      <c r="I702" s="186"/>
      <c r="J702" s="186"/>
      <c r="L702" s="186"/>
      <c r="M702" s="186"/>
      <c r="N702" s="186"/>
      <c r="Q702" s="186"/>
      <c r="R702" s="186"/>
    </row>
    <row r="703" spans="4:18">
      <c r="D703" s="186"/>
      <c r="E703" s="480"/>
      <c r="F703" s="186"/>
      <c r="G703" s="186"/>
      <c r="H703" s="186"/>
      <c r="I703" s="186"/>
      <c r="J703" s="186"/>
      <c r="L703" s="186"/>
      <c r="M703" s="186"/>
      <c r="N703" s="186"/>
      <c r="Q703" s="186"/>
      <c r="R703" s="186"/>
    </row>
    <row r="704" spans="4:18">
      <c r="D704" s="186"/>
      <c r="E704" s="480"/>
      <c r="F704" s="186"/>
      <c r="G704" s="186"/>
      <c r="H704" s="186"/>
      <c r="I704" s="186"/>
      <c r="J704" s="186"/>
      <c r="L704" s="186"/>
      <c r="M704" s="186"/>
      <c r="N704" s="186"/>
      <c r="Q704" s="186"/>
      <c r="R704" s="186"/>
    </row>
    <row r="705" spans="4:18">
      <c r="D705" s="186"/>
      <c r="E705" s="480"/>
      <c r="F705" s="186"/>
      <c r="G705" s="186"/>
      <c r="H705" s="186"/>
      <c r="I705" s="186"/>
      <c r="J705" s="186"/>
      <c r="L705" s="186"/>
      <c r="M705" s="186"/>
      <c r="N705" s="186"/>
      <c r="Q705" s="186"/>
      <c r="R705" s="186"/>
    </row>
    <row r="706" spans="4:18">
      <c r="D706" s="186"/>
      <c r="E706" s="480"/>
      <c r="F706" s="186"/>
      <c r="G706" s="186"/>
      <c r="H706" s="186"/>
      <c r="I706" s="186"/>
      <c r="J706" s="186"/>
      <c r="L706" s="186"/>
      <c r="M706" s="186"/>
      <c r="N706" s="186"/>
      <c r="Q706" s="186"/>
      <c r="R706" s="186"/>
    </row>
    <row r="707" spans="4:18">
      <c r="D707" s="186"/>
      <c r="E707" s="480"/>
      <c r="F707" s="186"/>
      <c r="G707" s="186"/>
      <c r="H707" s="186"/>
      <c r="I707" s="186"/>
      <c r="J707" s="186"/>
      <c r="L707" s="186"/>
      <c r="M707" s="186"/>
      <c r="N707" s="186"/>
      <c r="Q707" s="186"/>
      <c r="R707" s="186"/>
    </row>
    <row r="708" spans="4:18">
      <c r="D708" s="186"/>
      <c r="E708" s="480"/>
      <c r="F708" s="186"/>
      <c r="G708" s="186"/>
      <c r="H708" s="186"/>
      <c r="I708" s="186"/>
      <c r="J708" s="186"/>
      <c r="L708" s="186"/>
      <c r="M708" s="186"/>
      <c r="N708" s="186"/>
      <c r="Q708" s="186"/>
      <c r="R708" s="186"/>
    </row>
    <row r="709" spans="4:18">
      <c r="D709" s="186"/>
      <c r="E709" s="480"/>
      <c r="F709" s="186"/>
      <c r="G709" s="186"/>
      <c r="H709" s="186"/>
      <c r="I709" s="186"/>
      <c r="J709" s="186"/>
      <c r="L709" s="186"/>
      <c r="M709" s="186"/>
      <c r="N709" s="186"/>
      <c r="Q709" s="186"/>
      <c r="R709" s="186"/>
    </row>
    <row r="710" spans="4:18">
      <c r="D710" s="186"/>
      <c r="E710" s="480"/>
      <c r="F710" s="186"/>
      <c r="G710" s="186"/>
      <c r="H710" s="186"/>
      <c r="I710" s="186"/>
      <c r="J710" s="186"/>
      <c r="L710" s="186"/>
      <c r="M710" s="186"/>
      <c r="N710" s="186"/>
      <c r="Q710" s="186"/>
      <c r="R710" s="186"/>
    </row>
    <row r="711" spans="4:18">
      <c r="D711" s="186"/>
      <c r="E711" s="480"/>
      <c r="F711" s="186"/>
      <c r="G711" s="186"/>
      <c r="H711" s="186"/>
      <c r="I711" s="186"/>
      <c r="J711" s="186"/>
      <c r="L711" s="186"/>
      <c r="M711" s="186"/>
      <c r="N711" s="186"/>
      <c r="Q711" s="186"/>
      <c r="R711" s="186"/>
    </row>
    <row r="712" spans="4:18">
      <c r="D712" s="186"/>
      <c r="E712" s="480"/>
      <c r="F712" s="186"/>
      <c r="G712" s="186"/>
      <c r="H712" s="186"/>
      <c r="I712" s="186"/>
      <c r="J712" s="186"/>
      <c r="L712" s="186"/>
      <c r="M712" s="186"/>
      <c r="N712" s="186"/>
      <c r="Q712" s="186"/>
      <c r="R712" s="186"/>
    </row>
    <row r="713" spans="4:18">
      <c r="D713" s="186"/>
      <c r="E713" s="480"/>
      <c r="F713" s="186"/>
      <c r="G713" s="186"/>
      <c r="H713" s="186"/>
      <c r="I713" s="186"/>
      <c r="J713" s="186"/>
      <c r="L713" s="186"/>
      <c r="M713" s="186"/>
      <c r="N713" s="186"/>
      <c r="Q713" s="186"/>
      <c r="R713" s="186"/>
    </row>
    <row r="714" spans="4:18">
      <c r="D714" s="186"/>
      <c r="E714" s="480"/>
      <c r="F714" s="186"/>
      <c r="G714" s="186"/>
      <c r="H714" s="186"/>
      <c r="I714" s="186"/>
      <c r="J714" s="186"/>
      <c r="L714" s="186"/>
      <c r="M714" s="186"/>
      <c r="N714" s="186"/>
      <c r="Q714" s="186"/>
      <c r="R714" s="186"/>
    </row>
    <row r="715" spans="4:18">
      <c r="D715" s="186"/>
      <c r="E715" s="480"/>
      <c r="F715" s="186"/>
      <c r="G715" s="186"/>
      <c r="H715" s="186"/>
      <c r="I715" s="186"/>
      <c r="J715" s="186"/>
      <c r="L715" s="186"/>
      <c r="M715" s="186"/>
      <c r="N715" s="186"/>
      <c r="Q715" s="186"/>
      <c r="R715" s="186"/>
    </row>
    <row r="716" spans="4:18">
      <c r="D716" s="186"/>
      <c r="E716" s="480"/>
      <c r="F716" s="186"/>
      <c r="G716" s="186"/>
      <c r="H716" s="186"/>
      <c r="I716" s="186"/>
      <c r="J716" s="186"/>
      <c r="L716" s="186"/>
      <c r="M716" s="186"/>
      <c r="N716" s="186"/>
      <c r="Q716" s="186"/>
      <c r="R716" s="186"/>
    </row>
    <row r="717" spans="4:18">
      <c r="D717" s="186"/>
      <c r="E717" s="480"/>
      <c r="F717" s="186"/>
      <c r="G717" s="186"/>
      <c r="H717" s="186"/>
      <c r="I717" s="186"/>
      <c r="J717" s="186"/>
      <c r="L717" s="186"/>
      <c r="M717" s="186"/>
      <c r="N717" s="186"/>
      <c r="Q717" s="186"/>
      <c r="R717" s="186"/>
    </row>
    <row r="718" spans="4:18">
      <c r="D718" s="186"/>
      <c r="E718" s="480"/>
      <c r="F718" s="186"/>
      <c r="G718" s="186"/>
      <c r="H718" s="186"/>
      <c r="I718" s="186"/>
      <c r="J718" s="186"/>
      <c r="L718" s="186"/>
      <c r="M718" s="186"/>
      <c r="N718" s="186"/>
      <c r="Q718" s="186"/>
      <c r="R718" s="186"/>
    </row>
    <row r="719" spans="4:18">
      <c r="D719" s="186"/>
      <c r="E719" s="480"/>
      <c r="F719" s="186"/>
      <c r="G719" s="186"/>
      <c r="H719" s="186"/>
      <c r="I719" s="186"/>
      <c r="J719" s="186"/>
      <c r="L719" s="186"/>
      <c r="M719" s="186"/>
      <c r="N719" s="186"/>
      <c r="Q719" s="186"/>
      <c r="R719" s="186"/>
    </row>
    <row r="720" spans="4:18">
      <c r="D720" s="186"/>
      <c r="E720" s="480"/>
      <c r="F720" s="186"/>
      <c r="G720" s="186"/>
      <c r="H720" s="186"/>
      <c r="I720" s="186"/>
      <c r="J720" s="186"/>
      <c r="L720" s="186"/>
      <c r="M720" s="186"/>
      <c r="N720" s="186"/>
      <c r="Q720" s="186"/>
      <c r="R720" s="186"/>
    </row>
    <row r="721" spans="4:18">
      <c r="D721" s="186"/>
      <c r="E721" s="480"/>
      <c r="F721" s="186"/>
      <c r="G721" s="186"/>
      <c r="H721" s="186"/>
      <c r="I721" s="186"/>
      <c r="J721" s="186"/>
      <c r="L721" s="186"/>
      <c r="M721" s="186"/>
      <c r="N721" s="186"/>
      <c r="Q721" s="186"/>
      <c r="R721" s="186"/>
    </row>
    <row r="722" spans="4:18">
      <c r="D722" s="186"/>
      <c r="E722" s="480"/>
      <c r="F722" s="186"/>
      <c r="G722" s="186"/>
      <c r="H722" s="186"/>
      <c r="I722" s="186"/>
      <c r="J722" s="186"/>
      <c r="L722" s="186"/>
      <c r="M722" s="186"/>
      <c r="N722" s="186"/>
      <c r="Q722" s="186"/>
      <c r="R722" s="186"/>
    </row>
    <row r="723" spans="4:18">
      <c r="D723" s="186"/>
      <c r="E723" s="480"/>
      <c r="F723" s="186"/>
      <c r="G723" s="186"/>
      <c r="H723" s="186"/>
      <c r="I723" s="186"/>
      <c r="J723" s="186"/>
      <c r="L723" s="186"/>
      <c r="M723" s="186"/>
      <c r="N723" s="186"/>
      <c r="Q723" s="186"/>
      <c r="R723" s="186"/>
    </row>
    <row r="724" spans="4:18">
      <c r="D724" s="186"/>
      <c r="E724" s="480"/>
      <c r="F724" s="186"/>
      <c r="G724" s="186"/>
      <c r="H724" s="186"/>
      <c r="I724" s="186"/>
      <c r="J724" s="186"/>
      <c r="L724" s="186"/>
      <c r="M724" s="186"/>
      <c r="N724" s="186"/>
      <c r="Q724" s="186"/>
      <c r="R724" s="186"/>
    </row>
    <row r="725" spans="4:18">
      <c r="D725" s="186"/>
      <c r="E725" s="480"/>
      <c r="F725" s="186"/>
      <c r="G725" s="186"/>
      <c r="H725" s="186"/>
      <c r="I725" s="186"/>
      <c r="J725" s="186"/>
      <c r="L725" s="186"/>
      <c r="M725" s="186"/>
      <c r="N725" s="186"/>
      <c r="Q725" s="186"/>
      <c r="R725" s="186"/>
    </row>
    <row r="726" spans="4:18">
      <c r="D726" s="186"/>
      <c r="E726" s="480"/>
      <c r="F726" s="186"/>
      <c r="G726" s="186"/>
      <c r="H726" s="186"/>
      <c r="I726" s="186"/>
      <c r="J726" s="186"/>
      <c r="L726" s="186"/>
      <c r="M726" s="186"/>
      <c r="N726" s="186"/>
      <c r="Q726" s="186"/>
      <c r="R726" s="186"/>
    </row>
    <row r="727" spans="4:18">
      <c r="D727" s="186"/>
      <c r="E727" s="480"/>
      <c r="F727" s="186"/>
      <c r="G727" s="186"/>
      <c r="H727" s="186"/>
      <c r="I727" s="186"/>
      <c r="J727" s="186"/>
      <c r="L727" s="186"/>
      <c r="M727" s="186"/>
      <c r="N727" s="186"/>
      <c r="Q727" s="186"/>
      <c r="R727" s="186"/>
    </row>
    <row r="728" spans="4:18">
      <c r="D728" s="186"/>
      <c r="E728" s="480"/>
      <c r="F728" s="186"/>
      <c r="G728" s="186"/>
      <c r="H728" s="186"/>
      <c r="I728" s="186"/>
      <c r="J728" s="186"/>
      <c r="L728" s="186"/>
      <c r="M728" s="186"/>
      <c r="N728" s="186"/>
      <c r="Q728" s="186"/>
      <c r="R728" s="186"/>
    </row>
    <row r="729" spans="4:18">
      <c r="D729" s="186"/>
      <c r="E729" s="480"/>
      <c r="F729" s="186"/>
      <c r="G729" s="186"/>
      <c r="H729" s="186"/>
      <c r="I729" s="186"/>
      <c r="J729" s="186"/>
      <c r="L729" s="186"/>
      <c r="M729" s="186"/>
      <c r="N729" s="186"/>
      <c r="Q729" s="186"/>
      <c r="R729" s="186"/>
    </row>
    <row r="730" spans="4:18">
      <c r="D730" s="186"/>
      <c r="E730" s="480"/>
      <c r="F730" s="186"/>
      <c r="G730" s="186"/>
      <c r="H730" s="186"/>
      <c r="I730" s="186"/>
      <c r="J730" s="186"/>
      <c r="L730" s="186"/>
      <c r="M730" s="186"/>
      <c r="N730" s="186"/>
      <c r="Q730" s="186"/>
      <c r="R730" s="186"/>
    </row>
    <row r="731" spans="4:18">
      <c r="D731" s="186"/>
      <c r="E731" s="480"/>
      <c r="F731" s="186"/>
      <c r="G731" s="186"/>
      <c r="H731" s="186"/>
      <c r="I731" s="186"/>
      <c r="J731" s="186"/>
      <c r="L731" s="186"/>
      <c r="M731" s="186"/>
      <c r="N731" s="186"/>
      <c r="Q731" s="186"/>
      <c r="R731" s="186"/>
    </row>
    <row r="732" spans="4:18">
      <c r="D732" s="186"/>
      <c r="E732" s="480"/>
      <c r="F732" s="186"/>
      <c r="G732" s="186"/>
      <c r="H732" s="186"/>
      <c r="I732" s="186"/>
      <c r="J732" s="186"/>
      <c r="L732" s="186"/>
      <c r="M732" s="186"/>
      <c r="N732" s="186"/>
      <c r="Q732" s="186"/>
      <c r="R732" s="186"/>
    </row>
    <row r="733" spans="4:18">
      <c r="D733" s="186"/>
      <c r="E733" s="480"/>
      <c r="F733" s="186"/>
      <c r="G733" s="186"/>
      <c r="H733" s="186"/>
      <c r="I733" s="186"/>
      <c r="J733" s="186"/>
      <c r="L733" s="186"/>
      <c r="M733" s="186"/>
      <c r="N733" s="186"/>
      <c r="Q733" s="186"/>
      <c r="R733" s="186"/>
    </row>
    <row r="734" spans="4:18">
      <c r="D734" s="186"/>
      <c r="E734" s="480"/>
      <c r="F734" s="186"/>
      <c r="G734" s="186"/>
      <c r="H734" s="186"/>
      <c r="I734" s="186"/>
      <c r="J734" s="186"/>
      <c r="L734" s="186"/>
      <c r="M734" s="186"/>
      <c r="N734" s="186"/>
      <c r="Q734" s="186"/>
      <c r="R734" s="186"/>
    </row>
    <row r="735" spans="4:18">
      <c r="D735" s="186"/>
      <c r="E735" s="480"/>
      <c r="F735" s="186"/>
      <c r="G735" s="186"/>
      <c r="H735" s="186"/>
      <c r="I735" s="186"/>
      <c r="J735" s="186"/>
      <c r="L735" s="186"/>
      <c r="M735" s="186"/>
      <c r="N735" s="186"/>
      <c r="Q735" s="186"/>
      <c r="R735" s="186"/>
    </row>
    <row r="736" spans="4:18">
      <c r="D736" s="186"/>
      <c r="E736" s="480"/>
      <c r="F736" s="186"/>
      <c r="G736" s="186"/>
      <c r="H736" s="186"/>
      <c r="I736" s="186"/>
      <c r="J736" s="186"/>
      <c r="L736" s="186"/>
      <c r="M736" s="186"/>
      <c r="N736" s="186"/>
      <c r="Q736" s="186"/>
      <c r="R736" s="186"/>
    </row>
    <row r="737" spans="4:18">
      <c r="D737" s="186"/>
      <c r="E737" s="480"/>
      <c r="F737" s="186"/>
      <c r="G737" s="186"/>
      <c r="H737" s="186"/>
      <c r="I737" s="186"/>
      <c r="J737" s="186"/>
      <c r="L737" s="186"/>
      <c r="M737" s="186"/>
      <c r="N737" s="186"/>
      <c r="Q737" s="186"/>
      <c r="R737" s="186"/>
    </row>
    <row r="738" spans="4:18">
      <c r="D738" s="186"/>
      <c r="E738" s="480"/>
      <c r="F738" s="186"/>
      <c r="G738" s="186"/>
      <c r="H738" s="186"/>
      <c r="I738" s="186"/>
      <c r="J738" s="186"/>
      <c r="L738" s="186"/>
      <c r="M738" s="186"/>
      <c r="N738" s="186"/>
      <c r="Q738" s="186"/>
      <c r="R738" s="186"/>
    </row>
    <row r="739" spans="4:18">
      <c r="D739" s="186"/>
      <c r="E739" s="480"/>
      <c r="F739" s="186"/>
      <c r="G739" s="186"/>
      <c r="H739" s="186"/>
      <c r="I739" s="186"/>
      <c r="J739" s="186"/>
      <c r="L739" s="186"/>
      <c r="M739" s="186"/>
      <c r="N739" s="186"/>
      <c r="Q739" s="186"/>
      <c r="R739" s="186"/>
    </row>
    <row r="740" spans="4:18">
      <c r="D740" s="186"/>
      <c r="E740" s="480"/>
      <c r="F740" s="186"/>
      <c r="G740" s="186"/>
      <c r="H740" s="186"/>
      <c r="I740" s="186"/>
      <c r="J740" s="186"/>
      <c r="L740" s="186"/>
      <c r="M740" s="186"/>
      <c r="N740" s="186"/>
      <c r="Q740" s="186"/>
      <c r="R740" s="186"/>
    </row>
    <row r="741" spans="4:18">
      <c r="D741" s="186"/>
      <c r="E741" s="480"/>
      <c r="F741" s="186"/>
      <c r="G741" s="186"/>
      <c r="H741" s="186"/>
      <c r="I741" s="186"/>
      <c r="J741" s="186"/>
      <c r="L741" s="186"/>
      <c r="M741" s="186"/>
      <c r="N741" s="186"/>
      <c r="Q741" s="186"/>
      <c r="R741" s="186"/>
    </row>
    <row r="742" spans="4:18">
      <c r="D742" s="186"/>
      <c r="E742" s="480"/>
      <c r="F742" s="186"/>
      <c r="G742" s="186"/>
      <c r="H742" s="186"/>
      <c r="I742" s="186"/>
      <c r="J742" s="186"/>
      <c r="L742" s="186"/>
      <c r="M742" s="186"/>
      <c r="N742" s="186"/>
      <c r="Q742" s="186"/>
      <c r="R742" s="186"/>
    </row>
    <row r="743" spans="4:18">
      <c r="D743" s="186"/>
      <c r="E743" s="480"/>
      <c r="F743" s="186"/>
      <c r="G743" s="186"/>
      <c r="H743" s="186"/>
      <c r="I743" s="186"/>
      <c r="J743" s="186"/>
      <c r="L743" s="186"/>
      <c r="M743" s="186"/>
      <c r="N743" s="186"/>
      <c r="Q743" s="186"/>
      <c r="R743" s="186"/>
    </row>
    <row r="744" spans="4:18">
      <c r="D744" s="186"/>
      <c r="E744" s="480"/>
      <c r="F744" s="186"/>
      <c r="G744" s="186"/>
      <c r="H744" s="186"/>
      <c r="I744" s="186"/>
      <c r="J744" s="186"/>
      <c r="L744" s="186"/>
      <c r="M744" s="186"/>
      <c r="N744" s="186"/>
      <c r="Q744" s="186"/>
      <c r="R744" s="186"/>
    </row>
    <row r="745" spans="4:18">
      <c r="D745" s="186"/>
      <c r="E745" s="480"/>
      <c r="F745" s="186"/>
      <c r="G745" s="186"/>
      <c r="H745" s="186"/>
      <c r="I745" s="186"/>
      <c r="J745" s="186"/>
      <c r="L745" s="186"/>
      <c r="M745" s="186"/>
      <c r="N745" s="186"/>
      <c r="Q745" s="186"/>
      <c r="R745" s="186"/>
    </row>
    <row r="746" spans="4:18">
      <c r="D746" s="186"/>
      <c r="E746" s="480"/>
      <c r="F746" s="186"/>
      <c r="G746" s="186"/>
      <c r="H746" s="186"/>
      <c r="I746" s="186"/>
      <c r="J746" s="186"/>
      <c r="L746" s="186"/>
      <c r="M746" s="186"/>
      <c r="N746" s="186"/>
      <c r="Q746" s="186"/>
      <c r="R746" s="186"/>
    </row>
    <row r="747" spans="4:18">
      <c r="D747" s="186"/>
      <c r="E747" s="480"/>
      <c r="F747" s="186"/>
      <c r="G747" s="186"/>
      <c r="H747" s="186"/>
      <c r="I747" s="186"/>
      <c r="J747" s="186"/>
      <c r="L747" s="186"/>
      <c r="M747" s="186"/>
      <c r="N747" s="186"/>
      <c r="Q747" s="186"/>
      <c r="R747" s="186"/>
    </row>
    <row r="748" spans="4:18">
      <c r="D748" s="186"/>
      <c r="E748" s="480"/>
      <c r="F748" s="186"/>
      <c r="G748" s="186"/>
      <c r="H748" s="186"/>
      <c r="I748" s="186"/>
      <c r="J748" s="186"/>
      <c r="L748" s="186"/>
      <c r="M748" s="186"/>
      <c r="N748" s="186"/>
      <c r="Q748" s="186"/>
      <c r="R748" s="186"/>
    </row>
    <row r="749" spans="4:18">
      <c r="D749" s="186"/>
      <c r="E749" s="480"/>
      <c r="F749" s="186"/>
      <c r="G749" s="186"/>
      <c r="H749" s="186"/>
      <c r="I749" s="186"/>
      <c r="J749" s="186"/>
      <c r="L749" s="186"/>
      <c r="M749" s="186"/>
      <c r="N749" s="186"/>
      <c r="Q749" s="186"/>
      <c r="R749" s="186"/>
    </row>
    <row r="750" spans="4:18">
      <c r="D750" s="186"/>
      <c r="E750" s="480"/>
      <c r="F750" s="186"/>
      <c r="G750" s="186"/>
      <c r="H750" s="186"/>
      <c r="I750" s="186"/>
      <c r="J750" s="186"/>
      <c r="L750" s="186"/>
      <c r="M750" s="186"/>
      <c r="N750" s="186"/>
      <c r="Q750" s="186"/>
      <c r="R750" s="186"/>
    </row>
    <row r="751" spans="4:18">
      <c r="D751" s="186"/>
      <c r="E751" s="480"/>
      <c r="F751" s="186"/>
      <c r="G751" s="186"/>
      <c r="H751" s="186"/>
      <c r="I751" s="186"/>
      <c r="J751" s="186"/>
      <c r="L751" s="186"/>
      <c r="M751" s="186"/>
      <c r="N751" s="186"/>
      <c r="Q751" s="186"/>
      <c r="R751" s="186"/>
    </row>
    <row r="752" spans="4:18">
      <c r="D752" s="186"/>
      <c r="E752" s="480"/>
      <c r="F752" s="186"/>
      <c r="G752" s="186"/>
      <c r="H752" s="186"/>
      <c r="I752" s="186"/>
      <c r="J752" s="186"/>
      <c r="L752" s="186"/>
      <c r="M752" s="186"/>
      <c r="N752" s="186"/>
      <c r="Q752" s="186"/>
      <c r="R752" s="186"/>
    </row>
    <row r="753" spans="4:18">
      <c r="D753" s="186"/>
      <c r="E753" s="480"/>
      <c r="F753" s="186"/>
      <c r="G753" s="186"/>
      <c r="H753" s="186"/>
      <c r="I753" s="186"/>
      <c r="J753" s="186"/>
      <c r="L753" s="186"/>
      <c r="M753" s="186"/>
      <c r="N753" s="186"/>
      <c r="Q753" s="186"/>
      <c r="R753" s="186"/>
    </row>
    <row r="754" spans="4:18">
      <c r="D754" s="186"/>
      <c r="E754" s="480"/>
      <c r="F754" s="186"/>
      <c r="G754" s="186"/>
      <c r="H754" s="186"/>
      <c r="I754" s="186"/>
      <c r="J754" s="186"/>
      <c r="L754" s="186"/>
      <c r="M754" s="186"/>
      <c r="N754" s="186"/>
      <c r="Q754" s="186"/>
      <c r="R754" s="186"/>
    </row>
    <row r="755" spans="4:18">
      <c r="D755" s="186"/>
      <c r="E755" s="480"/>
      <c r="F755" s="186"/>
      <c r="G755" s="186"/>
      <c r="H755" s="186"/>
      <c r="I755" s="186"/>
      <c r="J755" s="186"/>
      <c r="L755" s="186"/>
      <c r="M755" s="186"/>
      <c r="N755" s="186"/>
      <c r="Q755" s="186"/>
      <c r="R755" s="186"/>
    </row>
    <row r="756" spans="4:18">
      <c r="D756" s="186"/>
      <c r="E756" s="480"/>
      <c r="F756" s="186"/>
      <c r="G756" s="186"/>
      <c r="H756" s="186"/>
      <c r="I756" s="186"/>
      <c r="J756" s="186"/>
      <c r="L756" s="186"/>
      <c r="M756" s="186"/>
      <c r="N756" s="186"/>
      <c r="Q756" s="186"/>
      <c r="R756" s="186"/>
    </row>
    <row r="757" spans="4:18">
      <c r="D757" s="186"/>
      <c r="E757" s="480"/>
      <c r="F757" s="186"/>
      <c r="G757" s="186"/>
      <c r="H757" s="186"/>
      <c r="I757" s="186"/>
      <c r="J757" s="186"/>
      <c r="L757" s="186"/>
      <c r="M757" s="186"/>
      <c r="N757" s="186"/>
      <c r="Q757" s="186"/>
      <c r="R757" s="186"/>
    </row>
    <row r="758" spans="4:18">
      <c r="D758" s="186"/>
      <c r="E758" s="480"/>
      <c r="F758" s="186"/>
      <c r="G758" s="186"/>
      <c r="H758" s="186"/>
      <c r="I758" s="186"/>
      <c r="J758" s="186"/>
      <c r="L758" s="186"/>
      <c r="M758" s="186"/>
      <c r="N758" s="186"/>
      <c r="Q758" s="186"/>
      <c r="R758" s="186"/>
    </row>
    <row r="759" spans="4:18">
      <c r="D759" s="186"/>
      <c r="E759" s="480"/>
      <c r="F759" s="186"/>
      <c r="G759" s="186"/>
      <c r="H759" s="186"/>
      <c r="I759" s="186"/>
      <c r="J759" s="186"/>
      <c r="L759" s="186"/>
      <c r="M759" s="186"/>
      <c r="N759" s="186"/>
      <c r="Q759" s="186"/>
      <c r="R759" s="186"/>
    </row>
    <row r="760" spans="4:18">
      <c r="D760" s="186"/>
      <c r="E760" s="480"/>
      <c r="F760" s="186"/>
      <c r="G760" s="186"/>
      <c r="H760" s="186"/>
      <c r="I760" s="186"/>
      <c r="J760" s="186"/>
      <c r="L760" s="186"/>
      <c r="M760" s="186"/>
      <c r="N760" s="186"/>
      <c r="Q760" s="186"/>
      <c r="R760" s="186"/>
    </row>
    <row r="761" spans="4:18">
      <c r="D761" s="186"/>
      <c r="E761" s="480"/>
      <c r="F761" s="186"/>
      <c r="G761" s="186"/>
      <c r="H761" s="186"/>
      <c r="I761" s="186"/>
      <c r="J761" s="186"/>
      <c r="L761" s="186"/>
      <c r="M761" s="186"/>
      <c r="N761" s="186"/>
      <c r="Q761" s="186"/>
      <c r="R761" s="186"/>
    </row>
    <row r="762" spans="4:18">
      <c r="D762" s="186"/>
      <c r="E762" s="480"/>
      <c r="F762" s="186"/>
      <c r="G762" s="186"/>
      <c r="H762" s="186"/>
      <c r="I762" s="186"/>
      <c r="J762" s="186"/>
      <c r="L762" s="186"/>
      <c r="M762" s="186"/>
      <c r="N762" s="186"/>
      <c r="Q762" s="186"/>
      <c r="R762" s="186"/>
    </row>
    <row r="763" spans="4:18">
      <c r="D763" s="186"/>
      <c r="E763" s="480"/>
      <c r="F763" s="186"/>
      <c r="G763" s="186"/>
      <c r="H763" s="186"/>
      <c r="I763" s="186"/>
      <c r="J763" s="186"/>
      <c r="L763" s="186"/>
      <c r="M763" s="186"/>
      <c r="N763" s="186"/>
      <c r="Q763" s="186"/>
      <c r="R763" s="186"/>
    </row>
    <row r="764" spans="4:18">
      <c r="D764" s="186"/>
      <c r="E764" s="480"/>
      <c r="F764" s="186"/>
      <c r="G764" s="186"/>
      <c r="H764" s="186"/>
      <c r="I764" s="186"/>
      <c r="J764" s="186"/>
      <c r="L764" s="186"/>
      <c r="M764" s="186"/>
      <c r="N764" s="186"/>
      <c r="Q764" s="186"/>
      <c r="R764" s="186"/>
    </row>
    <row r="765" spans="4:18">
      <c r="D765" s="186"/>
      <c r="E765" s="480"/>
      <c r="F765" s="186"/>
      <c r="G765" s="186"/>
      <c r="H765" s="186"/>
      <c r="I765" s="186"/>
      <c r="J765" s="186"/>
      <c r="L765" s="186"/>
      <c r="M765" s="186"/>
      <c r="N765" s="186"/>
      <c r="Q765" s="186"/>
      <c r="R765" s="186"/>
    </row>
    <row r="766" spans="4:18">
      <c r="D766" s="186"/>
      <c r="E766" s="480"/>
      <c r="F766" s="186"/>
      <c r="G766" s="186"/>
      <c r="H766" s="186"/>
      <c r="I766" s="186"/>
      <c r="J766" s="186"/>
      <c r="L766" s="186"/>
      <c r="M766" s="186"/>
      <c r="N766" s="186"/>
      <c r="Q766" s="186"/>
      <c r="R766" s="186"/>
    </row>
    <row r="767" spans="4:18">
      <c r="D767" s="186"/>
      <c r="E767" s="480"/>
      <c r="F767" s="186"/>
      <c r="G767" s="186"/>
      <c r="H767" s="186"/>
      <c r="I767" s="186"/>
      <c r="J767" s="186"/>
      <c r="L767" s="186"/>
      <c r="M767" s="186"/>
      <c r="N767" s="186"/>
      <c r="Q767" s="186"/>
      <c r="R767" s="186"/>
    </row>
    <row r="768" spans="4:18">
      <c r="D768" s="186"/>
      <c r="E768" s="480"/>
      <c r="F768" s="186"/>
      <c r="G768" s="186"/>
      <c r="H768" s="186"/>
      <c r="I768" s="186"/>
      <c r="J768" s="186"/>
      <c r="L768" s="186"/>
      <c r="M768" s="186"/>
      <c r="N768" s="186"/>
      <c r="Q768" s="186"/>
      <c r="R768" s="186"/>
    </row>
    <row r="769" spans="4:18">
      <c r="D769" s="186"/>
      <c r="E769" s="480"/>
      <c r="F769" s="186"/>
      <c r="G769" s="186"/>
      <c r="H769" s="186"/>
      <c r="I769" s="186"/>
      <c r="J769" s="186"/>
      <c r="L769" s="186"/>
      <c r="M769" s="186"/>
      <c r="N769" s="186"/>
      <c r="Q769" s="186"/>
      <c r="R769" s="186"/>
    </row>
    <row r="770" spans="4:18">
      <c r="D770" s="186"/>
      <c r="E770" s="480"/>
      <c r="F770" s="186"/>
      <c r="G770" s="186"/>
      <c r="H770" s="186"/>
      <c r="I770" s="186"/>
      <c r="J770" s="186"/>
      <c r="L770" s="186"/>
      <c r="M770" s="186"/>
      <c r="N770" s="186"/>
      <c r="Q770" s="186"/>
      <c r="R770" s="186"/>
    </row>
    <row r="771" spans="4:18">
      <c r="D771" s="186"/>
      <c r="E771" s="480"/>
      <c r="F771" s="186"/>
      <c r="G771" s="186"/>
      <c r="H771" s="186"/>
      <c r="I771" s="186"/>
      <c r="J771" s="186"/>
      <c r="L771" s="186"/>
      <c r="M771" s="186"/>
      <c r="N771" s="186"/>
      <c r="Q771" s="186"/>
      <c r="R771" s="186"/>
    </row>
    <row r="772" spans="4:18">
      <c r="D772" s="186"/>
      <c r="E772" s="480"/>
      <c r="F772" s="186"/>
      <c r="G772" s="186"/>
      <c r="H772" s="186"/>
      <c r="I772" s="186"/>
      <c r="J772" s="186"/>
      <c r="L772" s="186"/>
      <c r="M772" s="186"/>
      <c r="N772" s="186"/>
      <c r="Q772" s="186"/>
      <c r="R772" s="186"/>
    </row>
    <row r="773" spans="4:18">
      <c r="D773" s="186"/>
      <c r="E773" s="480"/>
      <c r="F773" s="186"/>
      <c r="G773" s="186"/>
      <c r="H773" s="186"/>
      <c r="I773" s="186"/>
      <c r="J773" s="186"/>
      <c r="L773" s="186"/>
      <c r="M773" s="186"/>
      <c r="N773" s="186"/>
      <c r="Q773" s="186"/>
      <c r="R773" s="186"/>
    </row>
    <row r="774" spans="4:18">
      <c r="D774" s="186"/>
      <c r="E774" s="480"/>
      <c r="F774" s="186"/>
      <c r="G774" s="186"/>
      <c r="H774" s="186"/>
      <c r="I774" s="186"/>
      <c r="J774" s="186"/>
      <c r="L774" s="186"/>
      <c r="M774" s="186"/>
      <c r="N774" s="186"/>
      <c r="Q774" s="186"/>
      <c r="R774" s="186"/>
    </row>
    <row r="775" spans="4:18">
      <c r="D775" s="186"/>
      <c r="E775" s="480"/>
      <c r="F775" s="186"/>
      <c r="G775" s="186"/>
      <c r="H775" s="186"/>
      <c r="I775" s="186"/>
      <c r="J775" s="186"/>
      <c r="L775" s="186"/>
      <c r="M775" s="186"/>
      <c r="N775" s="186"/>
      <c r="Q775" s="186"/>
      <c r="R775" s="186"/>
    </row>
    <row r="776" spans="4:18">
      <c r="D776" s="186"/>
      <c r="E776" s="480"/>
      <c r="F776" s="186"/>
      <c r="G776" s="186"/>
      <c r="H776" s="186"/>
      <c r="I776" s="186"/>
      <c r="J776" s="186"/>
      <c r="L776" s="186"/>
      <c r="M776" s="186"/>
      <c r="N776" s="186"/>
      <c r="Q776" s="186"/>
      <c r="R776" s="186"/>
    </row>
    <row r="777" spans="4:18">
      <c r="D777" s="186"/>
      <c r="E777" s="480"/>
      <c r="F777" s="186"/>
      <c r="G777" s="186"/>
      <c r="H777" s="186"/>
      <c r="I777" s="186"/>
      <c r="J777" s="186"/>
      <c r="L777" s="186"/>
      <c r="M777" s="186"/>
      <c r="N777" s="186"/>
      <c r="Q777" s="186"/>
      <c r="R777" s="186"/>
    </row>
    <row r="778" spans="4:18">
      <c r="D778" s="186"/>
      <c r="E778" s="480"/>
      <c r="F778" s="186"/>
      <c r="G778" s="186"/>
      <c r="H778" s="186"/>
      <c r="I778" s="186"/>
      <c r="J778" s="186"/>
      <c r="L778" s="186"/>
      <c r="M778" s="186"/>
      <c r="N778" s="186"/>
      <c r="Q778" s="186"/>
      <c r="R778" s="186"/>
    </row>
    <row r="779" spans="4:18">
      <c r="D779" s="186"/>
      <c r="E779" s="480"/>
      <c r="F779" s="186"/>
      <c r="G779" s="186"/>
      <c r="H779" s="186"/>
      <c r="I779" s="186"/>
      <c r="J779" s="186"/>
      <c r="L779" s="186"/>
      <c r="M779" s="186"/>
      <c r="N779" s="186"/>
      <c r="Q779" s="186"/>
      <c r="R779" s="186"/>
    </row>
    <row r="780" spans="4:18">
      <c r="D780" s="186"/>
      <c r="E780" s="480"/>
      <c r="F780" s="186"/>
      <c r="G780" s="186"/>
      <c r="H780" s="186"/>
      <c r="I780" s="186"/>
      <c r="J780" s="186"/>
      <c r="L780" s="186"/>
      <c r="M780" s="186"/>
      <c r="N780" s="186"/>
      <c r="Q780" s="186"/>
      <c r="R780" s="186"/>
    </row>
    <row r="781" spans="4:18">
      <c r="D781" s="186"/>
      <c r="E781" s="480"/>
      <c r="F781" s="186"/>
      <c r="G781" s="186"/>
      <c r="H781" s="186"/>
      <c r="I781" s="186"/>
      <c r="J781" s="186"/>
      <c r="L781" s="186"/>
      <c r="M781" s="186"/>
      <c r="N781" s="186"/>
      <c r="Q781" s="186"/>
      <c r="R781" s="186"/>
    </row>
    <row r="782" spans="4:18">
      <c r="D782" s="186"/>
      <c r="E782" s="480"/>
      <c r="F782" s="186"/>
      <c r="G782" s="186"/>
      <c r="H782" s="186"/>
      <c r="I782" s="186"/>
      <c r="J782" s="186"/>
      <c r="L782" s="186"/>
      <c r="M782" s="186"/>
      <c r="N782" s="186"/>
      <c r="Q782" s="186"/>
      <c r="R782" s="186"/>
    </row>
    <row r="783" spans="4:18">
      <c r="D783" s="186"/>
      <c r="E783" s="480"/>
      <c r="F783" s="186"/>
      <c r="G783" s="186"/>
      <c r="H783" s="186"/>
      <c r="I783" s="186"/>
      <c r="J783" s="186"/>
      <c r="L783" s="186"/>
      <c r="M783" s="186"/>
      <c r="N783" s="186"/>
      <c r="Q783" s="186"/>
      <c r="R783" s="186"/>
    </row>
    <row r="784" spans="4:18">
      <c r="D784" s="186"/>
      <c r="E784" s="480"/>
      <c r="F784" s="186"/>
      <c r="G784" s="186"/>
      <c r="H784" s="186"/>
      <c r="I784" s="186"/>
      <c r="J784" s="186"/>
      <c r="L784" s="186"/>
      <c r="M784" s="186"/>
      <c r="N784" s="186"/>
      <c r="Q784" s="186"/>
      <c r="R784" s="186"/>
    </row>
    <row r="785" spans="4:18">
      <c r="D785" s="186"/>
      <c r="E785" s="480"/>
      <c r="F785" s="186"/>
      <c r="G785" s="186"/>
      <c r="H785" s="186"/>
      <c r="I785" s="186"/>
      <c r="J785" s="186"/>
      <c r="L785" s="186"/>
      <c r="M785" s="186"/>
      <c r="N785" s="186"/>
      <c r="Q785" s="186"/>
      <c r="R785" s="186"/>
    </row>
    <row r="786" spans="4:18">
      <c r="D786" s="186"/>
      <c r="E786" s="480"/>
      <c r="F786" s="186"/>
      <c r="G786" s="186"/>
      <c r="H786" s="186"/>
      <c r="I786" s="186"/>
      <c r="J786" s="186"/>
      <c r="L786" s="186"/>
      <c r="M786" s="186"/>
      <c r="N786" s="186"/>
      <c r="Q786" s="186"/>
      <c r="R786" s="186"/>
    </row>
    <row r="787" spans="4:18">
      <c r="D787" s="186"/>
      <c r="E787" s="480"/>
      <c r="F787" s="186"/>
      <c r="G787" s="186"/>
      <c r="H787" s="186"/>
      <c r="I787" s="186"/>
      <c r="J787" s="186"/>
      <c r="L787" s="186"/>
      <c r="M787" s="186"/>
      <c r="N787" s="186"/>
      <c r="Q787" s="186"/>
      <c r="R787" s="186"/>
    </row>
    <row r="788" spans="4:18">
      <c r="D788" s="186"/>
      <c r="E788" s="480"/>
      <c r="F788" s="186"/>
      <c r="G788" s="186"/>
      <c r="H788" s="186"/>
      <c r="I788" s="186"/>
      <c r="J788" s="186"/>
      <c r="L788" s="186"/>
      <c r="M788" s="186"/>
      <c r="N788" s="186"/>
      <c r="Q788" s="186"/>
      <c r="R788" s="186"/>
    </row>
    <row r="789" spans="4:18">
      <c r="D789" s="186"/>
      <c r="E789" s="480"/>
      <c r="F789" s="186"/>
      <c r="G789" s="186"/>
      <c r="H789" s="186"/>
      <c r="I789" s="186"/>
      <c r="J789" s="186"/>
      <c r="L789" s="186"/>
      <c r="M789" s="186"/>
      <c r="N789" s="186"/>
      <c r="Q789" s="186"/>
      <c r="R789" s="186"/>
    </row>
    <row r="790" spans="4:18">
      <c r="D790" s="186"/>
      <c r="E790" s="480"/>
      <c r="F790" s="186"/>
      <c r="G790" s="186"/>
      <c r="H790" s="186"/>
      <c r="I790" s="186"/>
      <c r="J790" s="186"/>
      <c r="L790" s="186"/>
      <c r="M790" s="186"/>
      <c r="N790" s="186"/>
      <c r="Q790" s="186"/>
      <c r="R790" s="186"/>
    </row>
    <row r="791" spans="4:18">
      <c r="D791" s="186"/>
      <c r="E791" s="480"/>
      <c r="F791" s="186"/>
      <c r="G791" s="186"/>
      <c r="H791" s="186"/>
      <c r="I791" s="186"/>
      <c r="J791" s="186"/>
      <c r="L791" s="186"/>
      <c r="M791" s="186"/>
      <c r="N791" s="186"/>
      <c r="Q791" s="186"/>
      <c r="R791" s="186"/>
    </row>
    <row r="792" spans="4:18">
      <c r="D792" s="186"/>
      <c r="E792" s="480"/>
      <c r="F792" s="186"/>
      <c r="G792" s="186"/>
      <c r="H792" s="186"/>
      <c r="I792" s="186"/>
      <c r="J792" s="186"/>
      <c r="L792" s="186"/>
      <c r="M792" s="186"/>
      <c r="N792" s="186"/>
      <c r="Q792" s="186"/>
      <c r="R792" s="186"/>
    </row>
    <row r="793" spans="4:18">
      <c r="D793" s="186"/>
      <c r="E793" s="480"/>
      <c r="F793" s="186"/>
      <c r="G793" s="186"/>
      <c r="H793" s="186"/>
      <c r="I793" s="186"/>
      <c r="J793" s="186"/>
      <c r="L793" s="186"/>
      <c r="M793" s="186"/>
      <c r="N793" s="186"/>
      <c r="Q793" s="186"/>
      <c r="R793" s="186"/>
    </row>
    <row r="794" spans="4:18">
      <c r="D794" s="186"/>
      <c r="E794" s="480"/>
      <c r="F794" s="186"/>
      <c r="G794" s="186"/>
      <c r="H794" s="186"/>
      <c r="I794" s="186"/>
      <c r="J794" s="186"/>
      <c r="L794" s="186"/>
      <c r="M794" s="186"/>
      <c r="N794" s="186"/>
      <c r="Q794" s="186"/>
      <c r="R794" s="186"/>
    </row>
    <row r="795" spans="4:18">
      <c r="D795" s="186"/>
      <c r="E795" s="480"/>
      <c r="F795" s="186"/>
      <c r="G795" s="186"/>
      <c r="H795" s="186"/>
      <c r="I795" s="186"/>
      <c r="J795" s="186"/>
      <c r="L795" s="186"/>
      <c r="M795" s="186"/>
      <c r="N795" s="186"/>
      <c r="Q795" s="186"/>
      <c r="R795" s="186"/>
    </row>
    <row r="796" spans="4:18">
      <c r="D796" s="186"/>
      <c r="E796" s="480"/>
      <c r="F796" s="186"/>
      <c r="G796" s="186"/>
      <c r="H796" s="186"/>
      <c r="I796" s="186"/>
      <c r="J796" s="186"/>
      <c r="L796" s="186"/>
      <c r="M796" s="186"/>
      <c r="N796" s="186"/>
      <c r="Q796" s="186"/>
      <c r="R796" s="186"/>
    </row>
    <row r="797" spans="4:18">
      <c r="D797" s="186"/>
      <c r="E797" s="480"/>
      <c r="F797" s="186"/>
      <c r="G797" s="186"/>
      <c r="H797" s="186"/>
      <c r="I797" s="186"/>
      <c r="J797" s="186"/>
      <c r="L797" s="186"/>
      <c r="M797" s="186"/>
      <c r="N797" s="186"/>
      <c r="Q797" s="186"/>
      <c r="R797" s="186"/>
    </row>
    <row r="798" spans="4:18">
      <c r="D798" s="186"/>
      <c r="E798" s="480"/>
      <c r="F798" s="186"/>
      <c r="G798" s="186"/>
      <c r="H798" s="186"/>
      <c r="I798" s="186"/>
      <c r="J798" s="186"/>
      <c r="L798" s="186"/>
      <c r="M798" s="186"/>
      <c r="N798" s="186"/>
      <c r="Q798" s="186"/>
      <c r="R798" s="186"/>
    </row>
    <row r="799" spans="4:18">
      <c r="D799" s="186"/>
      <c r="E799" s="480"/>
      <c r="F799" s="186"/>
      <c r="G799" s="186"/>
      <c r="H799" s="186"/>
      <c r="I799" s="186"/>
      <c r="J799" s="186"/>
      <c r="L799" s="186"/>
      <c r="M799" s="186"/>
      <c r="N799" s="186"/>
      <c r="Q799" s="186"/>
      <c r="R799" s="186"/>
    </row>
    <row r="800" spans="4:18">
      <c r="D800" s="186"/>
      <c r="E800" s="480"/>
      <c r="F800" s="186"/>
      <c r="G800" s="186"/>
      <c r="H800" s="186"/>
      <c r="I800" s="186"/>
      <c r="J800" s="186"/>
      <c r="L800" s="186"/>
      <c r="M800" s="186"/>
      <c r="N800" s="186"/>
      <c r="Q800" s="186"/>
      <c r="R800" s="186"/>
    </row>
    <row r="801" spans="4:18">
      <c r="D801" s="186"/>
      <c r="E801" s="480"/>
      <c r="F801" s="186"/>
      <c r="G801" s="186"/>
      <c r="H801" s="186"/>
      <c r="I801" s="186"/>
      <c r="J801" s="186"/>
      <c r="L801" s="186"/>
      <c r="M801" s="186"/>
      <c r="N801" s="186"/>
      <c r="Q801" s="186"/>
      <c r="R801" s="186"/>
    </row>
    <row r="802" spans="4:18">
      <c r="D802" s="186"/>
      <c r="E802" s="480"/>
      <c r="F802" s="186"/>
      <c r="G802" s="186"/>
      <c r="H802" s="186"/>
      <c r="I802" s="186"/>
      <c r="J802" s="186"/>
      <c r="L802" s="186"/>
      <c r="M802" s="186"/>
      <c r="N802" s="186"/>
      <c r="Q802" s="186"/>
      <c r="R802" s="186"/>
    </row>
    <row r="803" spans="4:18">
      <c r="D803" s="186"/>
      <c r="E803" s="480"/>
      <c r="F803" s="186"/>
      <c r="G803" s="186"/>
      <c r="H803" s="186"/>
      <c r="I803" s="186"/>
      <c r="J803" s="186"/>
      <c r="L803" s="186"/>
      <c r="M803" s="186"/>
      <c r="N803" s="186"/>
      <c r="Q803" s="186"/>
      <c r="R803" s="186"/>
    </row>
    <row r="804" spans="4:18">
      <c r="D804" s="186"/>
      <c r="E804" s="480"/>
      <c r="F804" s="186"/>
      <c r="G804" s="186"/>
      <c r="H804" s="186"/>
      <c r="I804" s="186"/>
      <c r="J804" s="186"/>
      <c r="L804" s="186"/>
      <c r="M804" s="186"/>
      <c r="N804" s="186"/>
      <c r="Q804" s="186"/>
      <c r="R804" s="186"/>
    </row>
    <row r="805" spans="4:18">
      <c r="D805" s="186"/>
      <c r="E805" s="480"/>
      <c r="F805" s="186"/>
      <c r="G805" s="186"/>
      <c r="H805" s="186"/>
      <c r="I805" s="186"/>
      <c r="J805" s="186"/>
      <c r="L805" s="186"/>
      <c r="M805" s="186"/>
      <c r="N805" s="186"/>
      <c r="Q805" s="186"/>
      <c r="R805" s="186"/>
    </row>
    <row r="806" spans="4:18">
      <c r="D806" s="186"/>
      <c r="E806" s="480"/>
      <c r="F806" s="186"/>
      <c r="G806" s="186"/>
      <c r="H806" s="186"/>
      <c r="I806" s="186"/>
      <c r="J806" s="186"/>
      <c r="L806" s="186"/>
      <c r="M806" s="186"/>
      <c r="N806" s="186"/>
      <c r="Q806" s="186"/>
      <c r="R806" s="186"/>
    </row>
    <row r="807" spans="4:18">
      <c r="D807" s="186"/>
      <c r="E807" s="480"/>
      <c r="F807" s="186"/>
      <c r="G807" s="186"/>
      <c r="H807" s="186"/>
      <c r="I807" s="186"/>
      <c r="J807" s="186"/>
      <c r="L807" s="186"/>
      <c r="M807" s="186"/>
      <c r="N807" s="186"/>
      <c r="Q807" s="186"/>
      <c r="R807" s="186"/>
    </row>
    <row r="808" spans="4:18">
      <c r="D808" s="186"/>
      <c r="E808" s="480"/>
      <c r="F808" s="186"/>
      <c r="G808" s="186"/>
      <c r="H808" s="186"/>
      <c r="I808" s="186"/>
      <c r="J808" s="186"/>
      <c r="L808" s="186"/>
      <c r="M808" s="186"/>
      <c r="N808" s="186"/>
      <c r="Q808" s="186"/>
      <c r="R808" s="186"/>
    </row>
    <row r="809" spans="4:18">
      <c r="D809" s="186"/>
      <c r="E809" s="480"/>
      <c r="F809" s="186"/>
      <c r="G809" s="186"/>
      <c r="H809" s="186"/>
      <c r="I809" s="186"/>
      <c r="J809" s="186"/>
      <c r="L809" s="186"/>
      <c r="M809" s="186"/>
      <c r="N809" s="186"/>
      <c r="Q809" s="186"/>
      <c r="R809" s="186"/>
    </row>
    <row r="810" spans="4:18">
      <c r="D810" s="186"/>
      <c r="E810" s="480"/>
      <c r="F810" s="186"/>
      <c r="G810" s="186"/>
      <c r="H810" s="186"/>
      <c r="I810" s="186"/>
      <c r="J810" s="186"/>
      <c r="L810" s="186"/>
      <c r="M810" s="186"/>
      <c r="N810" s="186"/>
      <c r="Q810" s="186"/>
      <c r="R810" s="186"/>
    </row>
    <row r="811" spans="4:18">
      <c r="D811" s="186"/>
      <c r="E811" s="480"/>
      <c r="F811" s="186"/>
      <c r="G811" s="186"/>
      <c r="H811" s="186"/>
      <c r="I811" s="186"/>
      <c r="J811" s="186"/>
      <c r="L811" s="186"/>
      <c r="M811" s="186"/>
      <c r="N811" s="186"/>
      <c r="Q811" s="186"/>
      <c r="R811" s="186"/>
    </row>
    <row r="812" spans="4:18">
      <c r="D812" s="186"/>
      <c r="E812" s="480"/>
      <c r="F812" s="186"/>
      <c r="G812" s="186"/>
      <c r="H812" s="186"/>
      <c r="I812" s="186"/>
      <c r="J812" s="186"/>
      <c r="L812" s="186"/>
      <c r="M812" s="186"/>
      <c r="N812" s="186"/>
      <c r="Q812" s="186"/>
      <c r="R812" s="186"/>
    </row>
    <row r="813" spans="4:18">
      <c r="D813" s="186"/>
      <c r="E813" s="480"/>
      <c r="F813" s="186"/>
      <c r="G813" s="186"/>
      <c r="H813" s="186"/>
      <c r="I813" s="186"/>
      <c r="J813" s="186"/>
      <c r="L813" s="186"/>
      <c r="M813" s="186"/>
      <c r="N813" s="186"/>
      <c r="Q813" s="186"/>
      <c r="R813" s="186"/>
    </row>
    <row r="814" spans="4:18">
      <c r="D814" s="186"/>
      <c r="E814" s="480"/>
      <c r="F814" s="186"/>
      <c r="G814" s="186"/>
      <c r="H814" s="186"/>
      <c r="I814" s="186"/>
      <c r="J814" s="186"/>
      <c r="L814" s="186"/>
      <c r="M814" s="186"/>
      <c r="N814" s="186"/>
      <c r="Q814" s="186"/>
      <c r="R814" s="186"/>
    </row>
    <row r="815" spans="4:18">
      <c r="D815" s="186"/>
      <c r="E815" s="480"/>
      <c r="F815" s="186"/>
      <c r="G815" s="186"/>
      <c r="H815" s="186"/>
      <c r="I815" s="186"/>
      <c r="J815" s="186"/>
      <c r="L815" s="186"/>
      <c r="M815" s="186"/>
      <c r="N815" s="186"/>
      <c r="Q815" s="186"/>
      <c r="R815" s="186"/>
    </row>
    <row r="816" spans="4:18">
      <c r="D816" s="186"/>
      <c r="E816" s="480"/>
      <c r="F816" s="186"/>
      <c r="G816" s="186"/>
      <c r="H816" s="186"/>
      <c r="I816" s="186"/>
      <c r="J816" s="186"/>
      <c r="L816" s="186"/>
      <c r="M816" s="186"/>
      <c r="N816" s="186"/>
      <c r="Q816" s="186"/>
      <c r="R816" s="186"/>
    </row>
    <row r="817" spans="4:18">
      <c r="D817" s="186"/>
      <c r="E817" s="480"/>
      <c r="F817" s="186"/>
      <c r="G817" s="186"/>
      <c r="H817" s="186"/>
      <c r="I817" s="186"/>
      <c r="J817" s="186"/>
      <c r="L817" s="186"/>
      <c r="M817" s="186"/>
      <c r="N817" s="186"/>
      <c r="Q817" s="186"/>
      <c r="R817" s="186"/>
    </row>
    <row r="818" spans="4:18">
      <c r="D818" s="186"/>
      <c r="E818" s="480"/>
      <c r="F818" s="186"/>
      <c r="G818" s="186"/>
      <c r="H818" s="186"/>
      <c r="I818" s="186"/>
      <c r="J818" s="186"/>
      <c r="L818" s="186"/>
      <c r="M818" s="186"/>
      <c r="N818" s="186"/>
      <c r="Q818" s="186"/>
      <c r="R818" s="186"/>
    </row>
    <row r="819" spans="4:18">
      <c r="D819" s="186"/>
      <c r="E819" s="480"/>
      <c r="F819" s="186"/>
      <c r="G819" s="186"/>
      <c r="H819" s="186"/>
      <c r="I819" s="186"/>
      <c r="J819" s="186"/>
      <c r="L819" s="186"/>
      <c r="M819" s="186"/>
      <c r="N819" s="186"/>
      <c r="Q819" s="186"/>
      <c r="R819" s="186"/>
    </row>
    <row r="820" spans="4:18">
      <c r="D820" s="186"/>
      <c r="E820" s="480"/>
      <c r="F820" s="186"/>
      <c r="G820" s="186"/>
      <c r="H820" s="186"/>
      <c r="I820" s="186"/>
      <c r="J820" s="186"/>
      <c r="L820" s="186"/>
      <c r="M820" s="186"/>
      <c r="N820" s="186"/>
      <c r="Q820" s="186"/>
      <c r="R820" s="186"/>
    </row>
    <row r="821" spans="4:18">
      <c r="D821" s="186"/>
      <c r="E821" s="480"/>
      <c r="F821" s="186"/>
      <c r="G821" s="186"/>
      <c r="H821" s="186"/>
      <c r="I821" s="186"/>
      <c r="J821" s="186"/>
      <c r="L821" s="186"/>
      <c r="M821" s="186"/>
      <c r="N821" s="186"/>
      <c r="Q821" s="186"/>
      <c r="R821" s="186"/>
    </row>
    <row r="822" spans="4:18">
      <c r="D822" s="186"/>
      <c r="E822" s="480"/>
      <c r="F822" s="186"/>
      <c r="G822" s="186"/>
      <c r="H822" s="186"/>
      <c r="I822" s="186"/>
      <c r="J822" s="186"/>
      <c r="L822" s="186"/>
      <c r="M822" s="186"/>
      <c r="N822" s="186"/>
      <c r="Q822" s="186"/>
      <c r="R822" s="186"/>
    </row>
    <row r="823" spans="4:18">
      <c r="D823" s="186"/>
      <c r="E823" s="480"/>
      <c r="F823" s="186"/>
      <c r="G823" s="186"/>
      <c r="H823" s="186"/>
      <c r="I823" s="186"/>
      <c r="J823" s="186"/>
      <c r="L823" s="186"/>
      <c r="M823" s="186"/>
      <c r="N823" s="186"/>
      <c r="Q823" s="186"/>
      <c r="R823" s="186"/>
    </row>
    <row r="824" spans="4:18">
      <c r="D824" s="186"/>
      <c r="E824" s="480"/>
      <c r="F824" s="186"/>
      <c r="G824" s="186"/>
      <c r="H824" s="186"/>
      <c r="I824" s="186"/>
      <c r="J824" s="186"/>
      <c r="L824" s="186"/>
      <c r="M824" s="186"/>
      <c r="N824" s="186"/>
      <c r="Q824" s="186"/>
      <c r="R824" s="186"/>
    </row>
  </sheetData>
  <mergeCells count="15">
    <mergeCell ref="V7:V8"/>
    <mergeCell ref="A7:A8"/>
    <mergeCell ref="B7:B8"/>
    <mergeCell ref="C7:C8"/>
    <mergeCell ref="A1:U1"/>
    <mergeCell ref="A2:U2"/>
    <mergeCell ref="A3:U3"/>
    <mergeCell ref="A4:U4"/>
    <mergeCell ref="A5:U5"/>
    <mergeCell ref="A6:U6"/>
    <mergeCell ref="U7:U8"/>
    <mergeCell ref="D7:F7"/>
    <mergeCell ref="G7:K7"/>
    <mergeCell ref="L7:P7"/>
    <mergeCell ref="S7:T7"/>
  </mergeCells>
  <pageMargins left="0.39370078740157483" right="0" top="0.19685039370078741" bottom="0.19685039370078741" header="0" footer="0"/>
  <pageSetup paperSize="9" scale="8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EY319"/>
  <sheetViews>
    <sheetView view="pageBreakPreview" zoomScale="60" zoomScaleNormal="100" workbookViewId="0">
      <selection activeCell="B30" sqref="B30:B35"/>
    </sheetView>
  </sheetViews>
  <sheetFormatPr defaultRowHeight="12.75"/>
  <cols>
    <col min="1" max="1" width="5.7109375" style="28" customWidth="1"/>
    <col min="2" max="2" width="24.85546875" style="3" customWidth="1"/>
    <col min="3" max="3" width="52.42578125" style="3" customWidth="1"/>
    <col min="4" max="4" width="11.5703125" style="3" customWidth="1"/>
    <col min="5" max="5" width="39.5703125" style="3" customWidth="1"/>
    <col min="6" max="6" width="14.7109375" style="3" customWidth="1"/>
    <col min="7" max="7" width="11" style="3" customWidth="1"/>
    <col min="8" max="9" width="9.28515625" style="3" customWidth="1"/>
    <col min="10" max="10" width="10.42578125" style="3" customWidth="1"/>
    <col min="11" max="11" width="9.140625" style="3" customWidth="1"/>
    <col min="12" max="12" width="13.28515625" style="3" customWidth="1"/>
    <col min="13" max="13" width="11.5703125" style="3" customWidth="1"/>
    <col min="14" max="14" width="11.7109375" style="3" customWidth="1"/>
    <col min="15" max="15" width="6" style="3" customWidth="1"/>
    <col min="16" max="16" width="9.42578125" style="3" customWidth="1"/>
    <col min="17" max="17" width="10.85546875" style="3" customWidth="1"/>
    <col min="18" max="18" width="11.28515625" style="3" customWidth="1"/>
    <col min="19" max="19" width="4.7109375" style="3" hidden="1" customWidth="1"/>
    <col min="20" max="20" width="9.7109375" style="3" customWidth="1"/>
    <col min="21" max="21" width="12.7109375" style="3" customWidth="1"/>
    <col min="22" max="22" width="14.42578125" style="3" customWidth="1"/>
    <col min="23" max="16384" width="9.140625" style="3"/>
  </cols>
  <sheetData>
    <row r="1" spans="1:32" s="2" customFormat="1" ht="15.75">
      <c r="A1" s="256" t="s">
        <v>0</v>
      </c>
      <c r="B1" s="257"/>
      <c r="C1" s="257"/>
      <c r="D1" s="257"/>
      <c r="E1" s="258"/>
      <c r="F1" s="258"/>
      <c r="G1" s="258"/>
      <c r="H1" s="258"/>
      <c r="I1" s="258"/>
      <c r="J1" s="258"/>
      <c r="K1" s="258"/>
      <c r="L1" s="258"/>
      <c r="M1" s="258"/>
      <c r="N1" s="257" t="s">
        <v>1</v>
      </c>
      <c r="O1" s="257"/>
      <c r="P1" s="257"/>
      <c r="Q1" s="257"/>
      <c r="R1" s="257"/>
      <c r="S1" s="257"/>
      <c r="T1" s="257"/>
      <c r="U1" s="258"/>
      <c r="V1" s="258"/>
      <c r="W1" s="248"/>
      <c r="X1" s="42"/>
      <c r="Y1" s="57"/>
      <c r="Z1" s="57"/>
      <c r="AA1" s="57"/>
      <c r="AB1" s="70"/>
      <c r="AC1" s="70"/>
      <c r="AD1" s="70"/>
      <c r="AE1" s="70"/>
      <c r="AF1" s="70"/>
    </row>
    <row r="2" spans="1:32" s="2" customFormat="1" ht="15.75">
      <c r="A2" s="256" t="s">
        <v>2</v>
      </c>
      <c r="B2" s="257"/>
      <c r="C2" s="257"/>
      <c r="D2" s="257"/>
      <c r="E2" s="258"/>
      <c r="F2" s="258"/>
      <c r="G2" s="258"/>
      <c r="H2" s="258"/>
      <c r="I2" s="258"/>
      <c r="J2" s="258"/>
      <c r="K2" s="258"/>
      <c r="L2" s="258"/>
      <c r="M2" s="258"/>
      <c r="N2" s="257" t="s">
        <v>3</v>
      </c>
      <c r="O2" s="257"/>
      <c r="P2" s="257"/>
      <c r="Q2" s="257"/>
      <c r="R2" s="257"/>
      <c r="S2" s="257"/>
      <c r="T2" s="257"/>
      <c r="U2" s="258"/>
      <c r="V2" s="258"/>
      <c r="W2" s="248"/>
      <c r="X2" s="42"/>
      <c r="Y2" s="57"/>
      <c r="Z2" s="57"/>
      <c r="AA2" s="57"/>
      <c r="AB2" s="70"/>
      <c r="AC2" s="70"/>
      <c r="AD2" s="70"/>
      <c r="AE2" s="70"/>
      <c r="AF2" s="70"/>
    </row>
    <row r="3" spans="1:32" s="2" customFormat="1" ht="15.75">
      <c r="A3" s="256"/>
      <c r="B3" s="257"/>
      <c r="C3" s="257"/>
      <c r="D3" s="257"/>
      <c r="E3" s="258"/>
      <c r="F3" s="258"/>
      <c r="G3" s="258"/>
      <c r="H3" s="258"/>
      <c r="I3" s="258"/>
      <c r="J3" s="258"/>
      <c r="K3" s="258"/>
      <c r="L3" s="258"/>
      <c r="M3" s="258"/>
      <c r="N3" s="256" t="s">
        <v>4</v>
      </c>
      <c r="O3" s="256"/>
      <c r="P3" s="256"/>
      <c r="Q3" s="256"/>
      <c r="R3" s="256"/>
      <c r="S3" s="256"/>
      <c r="T3" s="256"/>
      <c r="U3" s="258"/>
      <c r="V3" s="258"/>
      <c r="W3" s="248"/>
      <c r="X3" s="42"/>
      <c r="Y3" s="57"/>
      <c r="Z3" s="57"/>
      <c r="AA3" s="57"/>
      <c r="AB3" s="70"/>
      <c r="AC3" s="70"/>
      <c r="AD3" s="70"/>
      <c r="AE3" s="70"/>
      <c r="AF3" s="70"/>
    </row>
    <row r="4" spans="1:32" s="2" customFormat="1" ht="15.75">
      <c r="A4" s="256" t="s">
        <v>5</v>
      </c>
      <c r="B4" s="257"/>
      <c r="C4" s="257" t="s">
        <v>6</v>
      </c>
      <c r="D4" s="257"/>
      <c r="E4" s="445" t="s">
        <v>183</v>
      </c>
      <c r="F4" s="445"/>
      <c r="G4" s="445"/>
      <c r="H4" s="445"/>
      <c r="I4" s="445"/>
      <c r="J4" s="445"/>
      <c r="K4" s="445"/>
      <c r="L4" s="445"/>
      <c r="M4" s="258"/>
      <c r="N4" s="257" t="s">
        <v>139</v>
      </c>
      <c r="O4" s="257"/>
      <c r="P4" s="257"/>
      <c r="Q4" s="257"/>
      <c r="R4" s="257"/>
      <c r="S4" s="257"/>
      <c r="T4" s="257"/>
      <c r="U4" s="258"/>
      <c r="V4" s="258"/>
      <c r="W4" s="248"/>
      <c r="X4" s="42"/>
      <c r="Y4" s="57"/>
      <c r="Z4" s="57"/>
      <c r="AA4" s="57"/>
      <c r="AB4" s="70"/>
      <c r="AC4" s="70"/>
      <c r="AD4" s="70"/>
      <c r="AE4" s="70"/>
      <c r="AF4" s="70"/>
    </row>
    <row r="5" spans="1:32" s="2" customFormat="1" ht="15.75">
      <c r="A5" s="256"/>
      <c r="B5" s="257"/>
      <c r="C5" s="257"/>
      <c r="D5" s="257"/>
      <c r="E5" s="446" t="s">
        <v>184</v>
      </c>
      <c r="F5" s="446"/>
      <c r="G5" s="446"/>
      <c r="H5" s="446"/>
      <c r="I5" s="446"/>
      <c r="J5" s="446"/>
      <c r="K5" s="446"/>
      <c r="L5" s="446"/>
      <c r="M5" s="446"/>
      <c r="N5" s="258"/>
      <c r="O5" s="258"/>
      <c r="P5" s="258"/>
      <c r="Q5" s="258"/>
      <c r="R5" s="258"/>
      <c r="S5" s="258"/>
      <c r="T5" s="258"/>
      <c r="U5" s="258"/>
      <c r="V5" s="258"/>
      <c r="W5" s="248"/>
      <c r="X5" s="42"/>
      <c r="Y5" s="57"/>
      <c r="Z5" s="57"/>
      <c r="AA5" s="57"/>
      <c r="AB5" s="70"/>
      <c r="AC5" s="70"/>
      <c r="AD5" s="70"/>
      <c r="AE5" s="70"/>
      <c r="AF5" s="70"/>
    </row>
    <row r="6" spans="1:32" s="2" customFormat="1" ht="15.75">
      <c r="A6" s="259"/>
      <c r="B6" s="258"/>
      <c r="C6" s="258"/>
      <c r="D6" s="258"/>
      <c r="E6" s="447" t="s">
        <v>219</v>
      </c>
      <c r="F6" s="447"/>
      <c r="G6" s="447"/>
      <c r="H6" s="447"/>
      <c r="I6" s="447"/>
      <c r="J6" s="447"/>
      <c r="K6" s="447"/>
      <c r="L6" s="447"/>
      <c r="M6" s="447"/>
      <c r="N6" s="258"/>
      <c r="O6" s="258"/>
      <c r="P6" s="258"/>
      <c r="Q6" s="258"/>
      <c r="R6" s="258"/>
      <c r="S6" s="258"/>
      <c r="T6" s="258"/>
      <c r="U6" s="258"/>
      <c r="V6" s="258"/>
      <c r="W6" s="248"/>
      <c r="X6" s="42"/>
      <c r="Y6" s="57"/>
      <c r="Z6" s="57"/>
      <c r="AA6" s="57"/>
      <c r="AB6" s="70"/>
      <c r="AC6" s="70"/>
      <c r="AD6" s="70"/>
      <c r="AE6" s="70"/>
      <c r="AF6" s="70"/>
    </row>
    <row r="7" spans="1:32" s="2" customFormat="1" ht="15.75">
      <c r="A7" s="259"/>
      <c r="B7" s="258"/>
      <c r="C7" s="258"/>
      <c r="D7" s="258"/>
      <c r="E7" s="447" t="s">
        <v>7</v>
      </c>
      <c r="F7" s="447"/>
      <c r="G7" s="447"/>
      <c r="H7" s="447"/>
      <c r="I7" s="447"/>
      <c r="J7" s="447"/>
      <c r="K7" s="447"/>
      <c r="L7" s="447"/>
      <c r="M7" s="447"/>
      <c r="N7" s="258"/>
      <c r="O7" s="258"/>
      <c r="P7" s="258"/>
      <c r="Q7" s="258"/>
      <c r="R7" s="258"/>
      <c r="S7" s="258"/>
      <c r="T7" s="258"/>
      <c r="U7" s="258"/>
      <c r="V7" s="258"/>
      <c r="W7" s="248"/>
      <c r="X7" s="42"/>
      <c r="Y7" s="57"/>
      <c r="Z7" s="57"/>
      <c r="AA7" s="57"/>
      <c r="AB7" s="70"/>
      <c r="AC7" s="70"/>
      <c r="AD7" s="70"/>
      <c r="AE7" s="70"/>
      <c r="AF7" s="70"/>
    </row>
    <row r="8" spans="1:32" s="2" customFormat="1" ht="15.75">
      <c r="A8" s="259"/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 t="s">
        <v>185</v>
      </c>
      <c r="R8" s="258"/>
      <c r="S8" s="258"/>
      <c r="T8" s="258"/>
      <c r="U8" s="258"/>
      <c r="V8" s="258"/>
      <c r="W8" s="248"/>
      <c r="X8" s="42"/>
      <c r="Y8" s="57"/>
      <c r="Z8" s="57"/>
      <c r="AA8" s="57"/>
      <c r="AB8" s="70"/>
      <c r="AC8" s="70"/>
      <c r="AD8" s="70"/>
      <c r="AE8" s="70"/>
      <c r="AF8" s="70"/>
    </row>
    <row r="9" spans="1:32" s="2" customFormat="1" ht="15.75">
      <c r="A9" s="259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 t="s">
        <v>265</v>
      </c>
      <c r="R9" s="258"/>
      <c r="S9" s="258"/>
      <c r="T9" s="258"/>
      <c r="U9" s="258"/>
      <c r="V9" s="258"/>
      <c r="W9" s="248"/>
      <c r="X9" s="42"/>
      <c r="Y9" s="57"/>
      <c r="Z9" s="57"/>
      <c r="AA9" s="57"/>
      <c r="AB9" s="70"/>
      <c r="AC9" s="70"/>
      <c r="AD9" s="70"/>
      <c r="AE9" s="70"/>
      <c r="AF9" s="70"/>
    </row>
    <row r="10" spans="1:32" s="2" customFormat="1" ht="15.75">
      <c r="A10" s="259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 t="s">
        <v>186</v>
      </c>
      <c r="R10" s="258"/>
      <c r="S10" s="258"/>
      <c r="T10" s="258" t="s">
        <v>244</v>
      </c>
      <c r="U10" s="258"/>
      <c r="V10" s="258"/>
      <c r="W10" s="248"/>
      <c r="X10" s="42"/>
      <c r="Y10" s="57"/>
      <c r="Z10" s="57"/>
      <c r="AA10" s="57"/>
      <c r="AB10" s="70"/>
      <c r="AC10" s="70"/>
      <c r="AD10" s="70"/>
      <c r="AE10" s="70"/>
      <c r="AF10" s="70"/>
    </row>
    <row r="11" spans="1:32" s="2" customFormat="1" ht="15.75">
      <c r="A11" s="259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 t="s">
        <v>188</v>
      </c>
      <c r="R11" s="258"/>
      <c r="S11" s="258"/>
      <c r="T11" s="258">
        <v>1</v>
      </c>
      <c r="U11" s="258"/>
      <c r="V11" s="258"/>
      <c r="W11" s="248"/>
      <c r="X11" s="42"/>
      <c r="Y11" s="57"/>
      <c r="Z11" s="57"/>
      <c r="AA11" s="57"/>
      <c r="AB11" s="70"/>
      <c r="AC11" s="70"/>
      <c r="AD11" s="70"/>
      <c r="AE11" s="70"/>
      <c r="AF11" s="70"/>
    </row>
    <row r="12" spans="1:32" s="2" customFormat="1" ht="15.75">
      <c r="A12" s="259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 t="s">
        <v>189</v>
      </c>
      <c r="R12" s="258"/>
      <c r="S12" s="258"/>
      <c r="T12" s="258">
        <v>23</v>
      </c>
      <c r="U12" s="258" t="s">
        <v>190</v>
      </c>
      <c r="V12" s="258"/>
      <c r="W12" s="248"/>
      <c r="X12" s="42"/>
      <c r="Y12" s="57"/>
      <c r="Z12" s="57"/>
      <c r="AA12" s="57"/>
      <c r="AB12" s="70"/>
      <c r="AC12" s="70"/>
      <c r="AD12" s="70"/>
      <c r="AE12" s="70"/>
      <c r="AF12" s="70"/>
    </row>
    <row r="13" spans="1:32" s="2" customFormat="1" ht="15.75">
      <c r="A13" s="259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 t="s">
        <v>191</v>
      </c>
      <c r="R13" s="258"/>
      <c r="S13" s="258"/>
      <c r="T13" s="258">
        <v>0</v>
      </c>
      <c r="U13" s="258">
        <f>T13*100/T12</f>
        <v>0</v>
      </c>
      <c r="V13" s="258" t="s">
        <v>17</v>
      </c>
      <c r="W13" s="248"/>
      <c r="X13" s="42"/>
      <c r="Y13" s="57"/>
      <c r="Z13" s="57"/>
      <c r="AA13" s="57"/>
      <c r="AB13" s="70"/>
      <c r="AC13" s="70"/>
      <c r="AD13" s="70"/>
      <c r="AE13" s="70"/>
      <c r="AF13" s="70"/>
    </row>
    <row r="14" spans="1:32" s="2" customFormat="1" ht="15.75">
      <c r="A14" s="259"/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 t="s">
        <v>192</v>
      </c>
      <c r="R14" s="258"/>
      <c r="S14" s="258"/>
      <c r="T14" s="258">
        <v>23</v>
      </c>
      <c r="U14" s="258">
        <f>T14*100/T12</f>
        <v>100</v>
      </c>
      <c r="V14" s="258" t="s">
        <v>17</v>
      </c>
      <c r="W14" s="248"/>
      <c r="X14" s="42"/>
      <c r="Y14" s="57"/>
      <c r="Z14" s="57"/>
      <c r="AA14" s="57"/>
      <c r="AB14" s="70"/>
      <c r="AC14" s="70"/>
      <c r="AD14" s="70"/>
      <c r="AE14" s="70"/>
      <c r="AF14" s="70"/>
    </row>
    <row r="15" spans="1:32" s="2" customFormat="1" ht="15.75">
      <c r="A15" s="259"/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 t="s">
        <v>193</v>
      </c>
      <c r="R15" s="258"/>
      <c r="S15" s="258"/>
      <c r="T15" s="258">
        <f>K36</f>
        <v>160.19999999999999</v>
      </c>
      <c r="U15" s="258"/>
      <c r="V15" s="258"/>
      <c r="W15" s="248"/>
      <c r="X15" s="42"/>
      <c r="Y15" s="57"/>
      <c r="Z15" s="57"/>
      <c r="AA15" s="57"/>
      <c r="AB15" s="70"/>
      <c r="AC15" s="70"/>
      <c r="AD15" s="70"/>
      <c r="AE15" s="70"/>
      <c r="AF15" s="70"/>
    </row>
    <row r="16" spans="1:32" s="2" customFormat="1" ht="15.75">
      <c r="A16" s="259"/>
      <c r="B16" s="258" t="s">
        <v>252</v>
      </c>
      <c r="C16" s="258" t="s">
        <v>246</v>
      </c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48"/>
      <c r="X16" s="42"/>
      <c r="Y16" s="57"/>
      <c r="Z16" s="57"/>
      <c r="AA16" s="57"/>
      <c r="AB16" s="70"/>
      <c r="AC16" s="70"/>
      <c r="AD16" s="70"/>
      <c r="AE16" s="70"/>
      <c r="AF16" s="70"/>
    </row>
    <row r="17" spans="1:32" s="42" customFormat="1" ht="46.5" customHeight="1">
      <c r="A17" s="455" t="s">
        <v>195</v>
      </c>
      <c r="B17" s="442" t="s">
        <v>196</v>
      </c>
      <c r="C17" s="442" t="s">
        <v>197</v>
      </c>
      <c r="D17" s="442" t="s">
        <v>198</v>
      </c>
      <c r="E17" s="442" t="s">
        <v>10</v>
      </c>
      <c r="F17" s="442" t="s">
        <v>199</v>
      </c>
      <c r="G17" s="442" t="s">
        <v>200</v>
      </c>
      <c r="H17" s="442" t="s">
        <v>201</v>
      </c>
      <c r="I17" s="442" t="s">
        <v>202</v>
      </c>
      <c r="J17" s="442" t="s">
        <v>11</v>
      </c>
      <c r="K17" s="442" t="s">
        <v>203</v>
      </c>
      <c r="L17" s="442" t="s">
        <v>12</v>
      </c>
      <c r="M17" s="452" t="s">
        <v>204</v>
      </c>
      <c r="N17" s="453"/>
      <c r="O17" s="453"/>
      <c r="P17" s="453"/>
      <c r="Q17" s="453"/>
      <c r="R17" s="453"/>
      <c r="S17" s="453"/>
      <c r="T17" s="454"/>
      <c r="U17" s="442" t="s">
        <v>205</v>
      </c>
      <c r="V17" s="442" t="s">
        <v>206</v>
      </c>
      <c r="W17" s="248"/>
      <c r="Y17" s="56"/>
      <c r="Z17" s="56"/>
      <c r="AA17" s="56"/>
      <c r="AB17" s="56"/>
      <c r="AC17" s="56"/>
      <c r="AD17" s="56"/>
      <c r="AE17" s="56"/>
      <c r="AF17" s="56"/>
    </row>
    <row r="18" spans="1:32" s="42" customFormat="1" ht="25.5" customHeight="1">
      <c r="A18" s="456"/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2" t="s">
        <v>207</v>
      </c>
      <c r="N18" s="442" t="s">
        <v>15</v>
      </c>
      <c r="O18" s="452" t="s">
        <v>16</v>
      </c>
      <c r="P18" s="453"/>
      <c r="Q18" s="454"/>
      <c r="R18" s="442" t="s">
        <v>215</v>
      </c>
      <c r="S18" s="442"/>
      <c r="T18" s="442"/>
      <c r="U18" s="443"/>
      <c r="V18" s="443"/>
      <c r="W18" s="248"/>
      <c r="Y18" s="57"/>
      <c r="Z18" s="57"/>
      <c r="AA18" s="57"/>
      <c r="AB18" s="56"/>
      <c r="AC18" s="56"/>
      <c r="AD18" s="56"/>
      <c r="AE18" s="56"/>
      <c r="AF18" s="56"/>
    </row>
    <row r="19" spans="1:32" s="42" customFormat="1" ht="75.75" customHeight="1">
      <c r="A19" s="457"/>
      <c r="B19" s="444"/>
      <c r="C19" s="444"/>
      <c r="D19" s="444"/>
      <c r="E19" s="444"/>
      <c r="F19" s="444"/>
      <c r="G19" s="444"/>
      <c r="H19" s="444"/>
      <c r="I19" s="444"/>
      <c r="J19" s="444"/>
      <c r="K19" s="444"/>
      <c r="L19" s="444"/>
      <c r="M19" s="444"/>
      <c r="N19" s="444"/>
      <c r="O19" s="260" t="s">
        <v>17</v>
      </c>
      <c r="P19" s="260" t="s">
        <v>18</v>
      </c>
      <c r="Q19" s="260" t="s">
        <v>19</v>
      </c>
      <c r="R19" s="444"/>
      <c r="S19" s="444"/>
      <c r="T19" s="444"/>
      <c r="U19" s="444"/>
      <c r="V19" s="444"/>
      <c r="W19" s="248"/>
      <c r="Y19" s="57"/>
      <c r="Z19" s="57"/>
      <c r="AA19" s="57"/>
      <c r="AB19" s="56"/>
      <c r="AC19" s="56"/>
      <c r="AD19" s="56"/>
      <c r="AE19" s="56"/>
      <c r="AF19" s="56"/>
    </row>
    <row r="20" spans="1:32" s="20" customFormat="1" ht="60">
      <c r="A20" s="261">
        <v>1</v>
      </c>
      <c r="B20" s="262"/>
      <c r="C20" s="261" t="s">
        <v>253</v>
      </c>
      <c r="D20" s="261" t="s">
        <v>51</v>
      </c>
      <c r="E20" s="261" t="s">
        <v>92</v>
      </c>
      <c r="F20" s="102" t="s">
        <v>93</v>
      </c>
      <c r="G20" s="263" t="s">
        <v>163</v>
      </c>
      <c r="H20" s="264" t="s">
        <v>25</v>
      </c>
      <c r="I20" s="264">
        <v>93971</v>
      </c>
      <c r="J20" s="265">
        <f t="shared" ref="J20:J28" si="0">I20/72</f>
        <v>1305.1500000000001</v>
      </c>
      <c r="K20" s="266">
        <v>6</v>
      </c>
      <c r="L20" s="267">
        <f>J20*K20</f>
        <v>7831</v>
      </c>
      <c r="M20" s="261"/>
      <c r="N20" s="261"/>
      <c r="O20" s="261">
        <v>25</v>
      </c>
      <c r="P20" s="261">
        <v>3.6</v>
      </c>
      <c r="Q20" s="267">
        <f>17697*25%/72*P20</f>
        <v>221</v>
      </c>
      <c r="R20" s="267"/>
      <c r="S20" s="267"/>
      <c r="T20" s="267"/>
      <c r="U20" s="267">
        <f t="shared" ref="U20:U35" si="1">L20*10%</f>
        <v>783</v>
      </c>
      <c r="V20" s="267">
        <f t="shared" ref="V20:V35" si="2">M20+N20+Q20+R20+T20+U20+S20+L20</f>
        <v>8835</v>
      </c>
      <c r="W20" s="249"/>
      <c r="X20" s="29"/>
      <c r="Y20" s="78"/>
      <c r="Z20" s="78"/>
      <c r="AA20" s="78"/>
      <c r="AB20" s="78"/>
      <c r="AC20" s="78"/>
      <c r="AD20" s="78"/>
      <c r="AE20" s="78"/>
      <c r="AF20" s="78"/>
    </row>
    <row r="21" spans="1:32" s="20" customFormat="1" ht="60">
      <c r="A21" s="268">
        <v>2</v>
      </c>
      <c r="B21" s="269"/>
      <c r="C21" s="270" t="s">
        <v>254</v>
      </c>
      <c r="D21" s="261" t="s">
        <v>51</v>
      </c>
      <c r="E21" s="269" t="s">
        <v>56</v>
      </c>
      <c r="F21" s="80" t="s">
        <v>57</v>
      </c>
      <c r="G21" s="269" t="s">
        <v>24</v>
      </c>
      <c r="H21" s="271" t="s">
        <v>25</v>
      </c>
      <c r="I21" s="264">
        <v>90609</v>
      </c>
      <c r="J21" s="265">
        <f t="shared" si="0"/>
        <v>1258.46</v>
      </c>
      <c r="K21" s="266">
        <v>4</v>
      </c>
      <c r="L21" s="267">
        <f t="shared" ref="L21:L35" si="3">J21*K21</f>
        <v>5034</v>
      </c>
      <c r="M21" s="261"/>
      <c r="N21" s="261"/>
      <c r="O21" s="261"/>
      <c r="P21" s="261"/>
      <c r="Q21" s="267">
        <f t="shared" ref="Q21" si="4">17697*25%/72*P21</f>
        <v>0</v>
      </c>
      <c r="R21" s="261"/>
      <c r="S21" s="261"/>
      <c r="T21" s="267"/>
      <c r="U21" s="267">
        <f t="shared" si="1"/>
        <v>503</v>
      </c>
      <c r="V21" s="267">
        <f t="shared" si="2"/>
        <v>5537</v>
      </c>
      <c r="W21" s="249"/>
      <c r="X21" s="29"/>
      <c r="Y21" s="78"/>
      <c r="Z21" s="78"/>
      <c r="AA21" s="78"/>
      <c r="AB21" s="78"/>
      <c r="AC21" s="78"/>
      <c r="AD21" s="78"/>
      <c r="AE21" s="78"/>
      <c r="AF21" s="78"/>
    </row>
    <row r="22" spans="1:32" s="20" customFormat="1" ht="75.75">
      <c r="A22" s="261">
        <v>3</v>
      </c>
      <c r="B22" s="269"/>
      <c r="C22" s="270" t="s">
        <v>519</v>
      </c>
      <c r="D22" s="261" t="s">
        <v>51</v>
      </c>
      <c r="E22" s="272" t="s">
        <v>75</v>
      </c>
      <c r="F22" s="80" t="s">
        <v>76</v>
      </c>
      <c r="G22" s="269" t="s">
        <v>152</v>
      </c>
      <c r="H22" s="264" t="s">
        <v>25</v>
      </c>
      <c r="I22" s="271">
        <v>90609</v>
      </c>
      <c r="J22" s="265">
        <f t="shared" si="0"/>
        <v>1258.46</v>
      </c>
      <c r="K22" s="266">
        <v>6</v>
      </c>
      <c r="L22" s="267">
        <f t="shared" si="3"/>
        <v>7551</v>
      </c>
      <c r="M22" s="261">
        <v>4424</v>
      </c>
      <c r="N22" s="261"/>
      <c r="O22" s="261">
        <v>20</v>
      </c>
      <c r="P22" s="261">
        <v>2.4</v>
      </c>
      <c r="Q22" s="267">
        <f>17697*20%/72*P22</f>
        <v>118</v>
      </c>
      <c r="R22" s="261"/>
      <c r="S22" s="261"/>
      <c r="T22" s="267"/>
      <c r="U22" s="267">
        <f t="shared" si="1"/>
        <v>755</v>
      </c>
      <c r="V22" s="267">
        <f t="shared" si="2"/>
        <v>12848</v>
      </c>
      <c r="W22" s="249"/>
      <c r="X22" s="29"/>
      <c r="Y22" s="78"/>
      <c r="Z22" s="78"/>
      <c r="AA22" s="78"/>
      <c r="AB22" s="78"/>
      <c r="AC22" s="78"/>
      <c r="AD22" s="78"/>
      <c r="AE22" s="78"/>
      <c r="AF22" s="78"/>
    </row>
    <row r="23" spans="1:32" s="20" customFormat="1" ht="43.5" customHeight="1">
      <c r="A23" s="268">
        <v>4</v>
      </c>
      <c r="B23" s="273"/>
      <c r="C23" s="273" t="s">
        <v>255</v>
      </c>
      <c r="D23" s="261" t="s">
        <v>51</v>
      </c>
      <c r="E23" s="273" t="s">
        <v>101</v>
      </c>
      <c r="F23" s="84" t="s">
        <v>102</v>
      </c>
      <c r="G23" s="273" t="s">
        <v>166</v>
      </c>
      <c r="H23" s="264" t="s">
        <v>25</v>
      </c>
      <c r="I23" s="271">
        <v>92201</v>
      </c>
      <c r="J23" s="265">
        <f t="shared" si="0"/>
        <v>1280.57</v>
      </c>
      <c r="K23" s="266">
        <v>14</v>
      </c>
      <c r="L23" s="267">
        <f t="shared" si="3"/>
        <v>17928</v>
      </c>
      <c r="M23" s="261"/>
      <c r="N23" s="261"/>
      <c r="O23" s="261"/>
      <c r="P23" s="261"/>
      <c r="Q23" s="267">
        <f>17697*20%/72*P23</f>
        <v>0</v>
      </c>
      <c r="R23" s="261"/>
      <c r="S23" s="261"/>
      <c r="T23" s="267"/>
      <c r="U23" s="267">
        <f t="shared" si="1"/>
        <v>1793</v>
      </c>
      <c r="V23" s="267">
        <f t="shared" si="2"/>
        <v>19721</v>
      </c>
      <c r="W23" s="249"/>
      <c r="X23" s="29"/>
      <c r="Y23" s="78"/>
      <c r="Z23" s="78"/>
      <c r="AA23" s="78"/>
      <c r="AB23" s="78"/>
      <c r="AC23" s="78"/>
      <c r="AD23" s="78"/>
      <c r="AE23" s="78"/>
      <c r="AF23" s="78"/>
    </row>
    <row r="24" spans="1:32" s="20" customFormat="1" ht="90">
      <c r="A24" s="261">
        <v>5</v>
      </c>
      <c r="B24" s="263"/>
      <c r="C24" s="274" t="s">
        <v>258</v>
      </c>
      <c r="D24" s="261" t="s">
        <v>51</v>
      </c>
      <c r="E24" s="275" t="s">
        <v>22</v>
      </c>
      <c r="F24" s="37" t="s">
        <v>23</v>
      </c>
      <c r="G24" s="263" t="s">
        <v>99</v>
      </c>
      <c r="H24" s="264" t="s">
        <v>25</v>
      </c>
      <c r="I24" s="264">
        <v>92201</v>
      </c>
      <c r="J24" s="265">
        <f t="shared" si="0"/>
        <v>1280.57</v>
      </c>
      <c r="K24" s="266">
        <f>6+6.8</f>
        <v>12.8</v>
      </c>
      <c r="L24" s="267">
        <f t="shared" si="3"/>
        <v>16391</v>
      </c>
      <c r="M24" s="261"/>
      <c r="N24" s="261"/>
      <c r="O24" s="261"/>
      <c r="P24" s="261"/>
      <c r="Q24" s="267">
        <f>17697*20%/72*P24</f>
        <v>0</v>
      </c>
      <c r="R24" s="261"/>
      <c r="S24" s="261"/>
      <c r="T24" s="267"/>
      <c r="U24" s="267">
        <f t="shared" si="1"/>
        <v>1639</v>
      </c>
      <c r="V24" s="267">
        <f t="shared" si="2"/>
        <v>18030</v>
      </c>
      <c r="W24" s="249"/>
      <c r="X24" s="29"/>
      <c r="Y24" s="78"/>
      <c r="Z24" s="78"/>
      <c r="AA24" s="78"/>
      <c r="AB24" s="78"/>
      <c r="AC24" s="78"/>
      <c r="AD24" s="78"/>
      <c r="AE24" s="78"/>
      <c r="AF24" s="78"/>
    </row>
    <row r="25" spans="1:32" s="20" customFormat="1" ht="86.25" customHeight="1">
      <c r="A25" s="268">
        <v>6</v>
      </c>
      <c r="B25" s="272"/>
      <c r="C25" s="270" t="s">
        <v>256</v>
      </c>
      <c r="D25" s="261" t="s">
        <v>51</v>
      </c>
      <c r="E25" s="269" t="s">
        <v>80</v>
      </c>
      <c r="F25" s="80" t="s">
        <v>130</v>
      </c>
      <c r="G25" s="269" t="s">
        <v>174</v>
      </c>
      <c r="H25" s="264" t="s">
        <v>25</v>
      </c>
      <c r="I25" s="271">
        <v>89016</v>
      </c>
      <c r="J25" s="265">
        <f t="shared" si="0"/>
        <v>1236.33</v>
      </c>
      <c r="K25" s="266">
        <v>13</v>
      </c>
      <c r="L25" s="267">
        <f t="shared" si="3"/>
        <v>16072</v>
      </c>
      <c r="M25" s="261"/>
      <c r="N25" s="261"/>
      <c r="O25" s="261"/>
      <c r="P25" s="261"/>
      <c r="Q25" s="267">
        <f t="shared" ref="Q25:Q35" si="5">17697*20%/72*P25</f>
        <v>0</v>
      </c>
      <c r="R25" s="261"/>
      <c r="S25" s="261"/>
      <c r="T25" s="267"/>
      <c r="U25" s="267">
        <f t="shared" si="1"/>
        <v>1607</v>
      </c>
      <c r="V25" s="267">
        <f t="shared" si="2"/>
        <v>17679</v>
      </c>
      <c r="W25" s="249"/>
      <c r="X25" s="29"/>
      <c r="Y25" s="78"/>
      <c r="Z25" s="78"/>
      <c r="AA25" s="78"/>
      <c r="AB25" s="78"/>
      <c r="AC25" s="78"/>
      <c r="AD25" s="78"/>
      <c r="AE25" s="78"/>
      <c r="AF25" s="78"/>
    </row>
    <row r="26" spans="1:32" s="20" customFormat="1" ht="108.75" customHeight="1">
      <c r="A26" s="261">
        <v>7</v>
      </c>
      <c r="B26" s="275"/>
      <c r="C26" s="275" t="s">
        <v>260</v>
      </c>
      <c r="D26" s="261" t="s">
        <v>51</v>
      </c>
      <c r="E26" s="276" t="s">
        <v>38</v>
      </c>
      <c r="F26" s="37" t="s">
        <v>257</v>
      </c>
      <c r="G26" s="276" t="s">
        <v>179</v>
      </c>
      <c r="H26" s="264" t="s">
        <v>25</v>
      </c>
      <c r="I26" s="276">
        <v>84061</v>
      </c>
      <c r="J26" s="265">
        <f t="shared" si="0"/>
        <v>1167.51</v>
      </c>
      <c r="K26" s="266">
        <f>2.8+8.8+8</f>
        <v>19.600000000000001</v>
      </c>
      <c r="L26" s="267">
        <f t="shared" si="3"/>
        <v>22883</v>
      </c>
      <c r="M26" s="261"/>
      <c r="N26" s="261"/>
      <c r="O26" s="261"/>
      <c r="P26" s="266"/>
      <c r="Q26" s="267">
        <f t="shared" si="5"/>
        <v>0</v>
      </c>
      <c r="R26" s="261"/>
      <c r="S26" s="261"/>
      <c r="T26" s="267"/>
      <c r="U26" s="267">
        <f t="shared" si="1"/>
        <v>2288</v>
      </c>
      <c r="V26" s="267">
        <f t="shared" si="2"/>
        <v>25171</v>
      </c>
      <c r="W26" s="249"/>
      <c r="X26" s="29"/>
      <c r="Y26" s="78"/>
      <c r="Z26" s="78"/>
      <c r="AA26" s="78"/>
      <c r="AB26" s="78"/>
      <c r="AC26" s="78"/>
      <c r="AD26" s="78"/>
      <c r="AE26" s="78"/>
      <c r="AF26" s="78"/>
    </row>
    <row r="27" spans="1:32" s="20" customFormat="1" ht="45">
      <c r="A27" s="268">
        <v>8</v>
      </c>
      <c r="B27" s="263"/>
      <c r="C27" s="263" t="s">
        <v>259</v>
      </c>
      <c r="D27" s="261" t="s">
        <v>51</v>
      </c>
      <c r="E27" s="263" t="s">
        <v>38</v>
      </c>
      <c r="F27" s="73" t="s">
        <v>54</v>
      </c>
      <c r="G27" s="263" t="s">
        <v>149</v>
      </c>
      <c r="H27" s="264" t="s">
        <v>25</v>
      </c>
      <c r="I27" s="264">
        <v>85653</v>
      </c>
      <c r="J27" s="265">
        <f t="shared" si="0"/>
        <v>1189.6300000000001</v>
      </c>
      <c r="K27" s="261">
        <v>2.4</v>
      </c>
      <c r="L27" s="267">
        <f t="shared" si="3"/>
        <v>2855</v>
      </c>
      <c r="M27" s="261"/>
      <c r="N27" s="261"/>
      <c r="O27" s="261"/>
      <c r="P27" s="261"/>
      <c r="Q27" s="267">
        <f t="shared" si="5"/>
        <v>0</v>
      </c>
      <c r="R27" s="261"/>
      <c r="S27" s="261"/>
      <c r="T27" s="267"/>
      <c r="U27" s="267">
        <f t="shared" si="1"/>
        <v>286</v>
      </c>
      <c r="V27" s="267">
        <f t="shared" si="2"/>
        <v>3141</v>
      </c>
      <c r="W27" s="249"/>
      <c r="X27" s="29"/>
      <c r="Y27" s="78"/>
      <c r="Z27" s="78"/>
      <c r="AA27" s="78"/>
      <c r="AB27" s="78"/>
      <c r="AC27" s="78"/>
      <c r="AD27" s="78"/>
      <c r="AE27" s="78"/>
      <c r="AF27" s="78"/>
    </row>
    <row r="28" spans="1:32" s="20" customFormat="1" ht="45">
      <c r="A28" s="261">
        <v>9</v>
      </c>
      <c r="B28" s="277"/>
      <c r="C28" s="278" t="s">
        <v>261</v>
      </c>
      <c r="D28" s="261" t="s">
        <v>51</v>
      </c>
      <c r="E28" s="277" t="s">
        <v>26</v>
      </c>
      <c r="F28" s="86" t="s">
        <v>48</v>
      </c>
      <c r="G28" s="277" t="s">
        <v>145</v>
      </c>
      <c r="H28" s="279" t="s">
        <v>25</v>
      </c>
      <c r="I28" s="279">
        <v>85653</v>
      </c>
      <c r="J28" s="265">
        <f t="shared" si="0"/>
        <v>1189.6300000000001</v>
      </c>
      <c r="K28" s="261">
        <v>4.4000000000000004</v>
      </c>
      <c r="L28" s="267">
        <f t="shared" si="3"/>
        <v>5234</v>
      </c>
      <c r="M28" s="261"/>
      <c r="N28" s="261"/>
      <c r="O28" s="261"/>
      <c r="P28" s="261"/>
      <c r="Q28" s="267">
        <f t="shared" si="5"/>
        <v>0</v>
      </c>
      <c r="R28" s="261"/>
      <c r="S28" s="261"/>
      <c r="T28" s="267"/>
      <c r="U28" s="267">
        <f t="shared" si="1"/>
        <v>523</v>
      </c>
      <c r="V28" s="267">
        <f t="shared" si="2"/>
        <v>5757</v>
      </c>
      <c r="W28" s="249"/>
      <c r="X28" s="29"/>
      <c r="Y28" s="78"/>
      <c r="Z28" s="78"/>
      <c r="AA28" s="78"/>
      <c r="AB28" s="78"/>
      <c r="AC28" s="78"/>
      <c r="AD28" s="78"/>
      <c r="AE28" s="78"/>
      <c r="AF28" s="78"/>
    </row>
    <row r="29" spans="1:32" s="20" customFormat="1" ht="38.25">
      <c r="A29" s="268">
        <v>10</v>
      </c>
      <c r="B29" s="275"/>
      <c r="C29" s="275" t="s">
        <v>355</v>
      </c>
      <c r="D29" s="261" t="s">
        <v>51</v>
      </c>
      <c r="E29" s="275" t="s">
        <v>31</v>
      </c>
      <c r="F29" s="37" t="s">
        <v>242</v>
      </c>
      <c r="G29" s="269" t="s">
        <v>145</v>
      </c>
      <c r="H29" s="271" t="s">
        <v>25</v>
      </c>
      <c r="I29" s="271">
        <v>85653</v>
      </c>
      <c r="J29" s="265">
        <f t="shared" ref="J29:J30" si="6">I29/72</f>
        <v>1189.6300000000001</v>
      </c>
      <c r="K29" s="261">
        <v>3.6</v>
      </c>
      <c r="L29" s="267">
        <f t="shared" si="3"/>
        <v>4283</v>
      </c>
      <c r="M29" s="261"/>
      <c r="N29" s="261"/>
      <c r="O29" s="261"/>
      <c r="P29" s="261"/>
      <c r="Q29" s="267"/>
      <c r="R29" s="261"/>
      <c r="S29" s="261"/>
      <c r="T29" s="267"/>
      <c r="U29" s="267">
        <f t="shared" si="1"/>
        <v>428</v>
      </c>
      <c r="V29" s="267">
        <f t="shared" si="2"/>
        <v>4711</v>
      </c>
      <c r="W29" s="249"/>
      <c r="X29" s="29"/>
      <c r="Y29" s="78"/>
      <c r="Z29" s="78"/>
      <c r="AA29" s="78"/>
      <c r="AB29" s="78"/>
      <c r="AC29" s="78"/>
      <c r="AD29" s="78"/>
      <c r="AE29" s="78"/>
      <c r="AF29" s="78"/>
    </row>
    <row r="30" spans="1:32" s="20" customFormat="1" ht="30">
      <c r="A30" s="261">
        <v>11</v>
      </c>
      <c r="B30" s="280"/>
      <c r="C30" s="280" t="s">
        <v>360</v>
      </c>
      <c r="D30" s="261" t="s">
        <v>51</v>
      </c>
      <c r="E30" s="280"/>
      <c r="F30" s="280"/>
      <c r="G30" s="276" t="s">
        <v>50</v>
      </c>
      <c r="H30" s="264" t="s">
        <v>25</v>
      </c>
      <c r="I30" s="276">
        <v>85653</v>
      </c>
      <c r="J30" s="265">
        <f t="shared" si="6"/>
        <v>1189.6300000000001</v>
      </c>
      <c r="K30" s="266">
        <v>2</v>
      </c>
      <c r="L30" s="267">
        <f t="shared" si="3"/>
        <v>2379</v>
      </c>
      <c r="M30" s="261"/>
      <c r="N30" s="261"/>
      <c r="O30" s="261"/>
      <c r="P30" s="261"/>
      <c r="Q30" s="267"/>
      <c r="R30" s="261"/>
      <c r="S30" s="261"/>
      <c r="T30" s="267"/>
      <c r="U30" s="267">
        <f t="shared" si="1"/>
        <v>238</v>
      </c>
      <c r="V30" s="267">
        <f t="shared" si="2"/>
        <v>2617</v>
      </c>
      <c r="W30" s="249"/>
      <c r="X30" s="29"/>
      <c r="Y30" s="78"/>
      <c r="Z30" s="78"/>
      <c r="AA30" s="78"/>
      <c r="AB30" s="78"/>
      <c r="AC30" s="78"/>
      <c r="AD30" s="78"/>
      <c r="AE30" s="78"/>
      <c r="AF30" s="78"/>
    </row>
    <row r="31" spans="1:32" s="20" customFormat="1" ht="45">
      <c r="A31" s="268">
        <v>12</v>
      </c>
      <c r="B31" s="275"/>
      <c r="C31" s="275" t="s">
        <v>263</v>
      </c>
      <c r="D31" s="261" t="s">
        <v>51</v>
      </c>
      <c r="E31" s="276"/>
      <c r="F31" s="282"/>
      <c r="G31" s="276" t="s">
        <v>50</v>
      </c>
      <c r="H31" s="271" t="s">
        <v>42</v>
      </c>
      <c r="I31" s="271">
        <v>85653</v>
      </c>
      <c r="J31" s="265">
        <f>I31/72</f>
        <v>1189.6300000000001</v>
      </c>
      <c r="K31" s="266">
        <v>6</v>
      </c>
      <c r="L31" s="267">
        <f t="shared" si="3"/>
        <v>7138</v>
      </c>
      <c r="M31" s="261"/>
      <c r="N31" s="261"/>
      <c r="O31" s="261"/>
      <c r="P31" s="261"/>
      <c r="Q31" s="267">
        <f>17697*20%/72*P31</f>
        <v>0</v>
      </c>
      <c r="R31" s="261"/>
      <c r="S31" s="261"/>
      <c r="T31" s="267"/>
      <c r="U31" s="267">
        <f t="shared" si="1"/>
        <v>714</v>
      </c>
      <c r="V31" s="267">
        <f t="shared" si="2"/>
        <v>7852</v>
      </c>
      <c r="W31" s="249"/>
      <c r="X31" s="29"/>
      <c r="Y31" s="78"/>
      <c r="Z31" s="78"/>
      <c r="AA31" s="78"/>
      <c r="AB31" s="78"/>
      <c r="AC31" s="78"/>
      <c r="AD31" s="78"/>
      <c r="AE31" s="78"/>
      <c r="AF31" s="78"/>
    </row>
    <row r="32" spans="1:32" s="20" customFormat="1" ht="45">
      <c r="A32" s="261">
        <v>13</v>
      </c>
      <c r="B32" s="275"/>
      <c r="C32" s="275" t="s">
        <v>262</v>
      </c>
      <c r="D32" s="261" t="s">
        <v>51</v>
      </c>
      <c r="E32" s="283"/>
      <c r="F32" s="284"/>
      <c r="G32" s="276" t="s">
        <v>50</v>
      </c>
      <c r="H32" s="271" t="s">
        <v>42</v>
      </c>
      <c r="I32" s="271">
        <v>85653</v>
      </c>
      <c r="J32" s="265">
        <f>I32/72</f>
        <v>1189.6300000000001</v>
      </c>
      <c r="K32" s="266">
        <v>5.4</v>
      </c>
      <c r="L32" s="267">
        <f t="shared" si="3"/>
        <v>6424</v>
      </c>
      <c r="M32" s="261"/>
      <c r="N32" s="261"/>
      <c r="O32" s="261"/>
      <c r="P32" s="261"/>
      <c r="Q32" s="267">
        <f t="shared" si="5"/>
        <v>0</v>
      </c>
      <c r="R32" s="261"/>
      <c r="S32" s="261"/>
      <c r="T32" s="267"/>
      <c r="U32" s="267">
        <f t="shared" si="1"/>
        <v>642</v>
      </c>
      <c r="V32" s="267">
        <f t="shared" si="2"/>
        <v>7066</v>
      </c>
      <c r="W32" s="249"/>
      <c r="X32" s="29"/>
      <c r="Y32" s="78"/>
      <c r="Z32" s="78"/>
      <c r="AA32" s="78"/>
      <c r="AB32" s="78"/>
      <c r="AC32" s="78"/>
      <c r="AD32" s="78"/>
      <c r="AE32" s="78"/>
      <c r="AF32" s="78"/>
    </row>
    <row r="33" spans="1:32" s="20" customFormat="1" ht="45">
      <c r="A33" s="268">
        <v>14</v>
      </c>
      <c r="B33" s="275"/>
      <c r="C33" s="275" t="s">
        <v>359</v>
      </c>
      <c r="D33" s="261" t="s">
        <v>51</v>
      </c>
      <c r="E33" s="285"/>
      <c r="F33" s="276"/>
      <c r="G33" s="276" t="s">
        <v>50</v>
      </c>
      <c r="H33" s="271" t="s">
        <v>42</v>
      </c>
      <c r="I33" s="271">
        <v>85653</v>
      </c>
      <c r="J33" s="265">
        <f>I33/72</f>
        <v>1189.6300000000001</v>
      </c>
      <c r="K33" s="266">
        <v>6.4</v>
      </c>
      <c r="L33" s="267">
        <f t="shared" si="3"/>
        <v>7614</v>
      </c>
      <c r="M33" s="261"/>
      <c r="N33" s="261"/>
      <c r="O33" s="261"/>
      <c r="P33" s="261"/>
      <c r="Q33" s="267">
        <f t="shared" si="5"/>
        <v>0</v>
      </c>
      <c r="R33" s="261"/>
      <c r="S33" s="261"/>
      <c r="T33" s="267"/>
      <c r="U33" s="267">
        <f t="shared" si="1"/>
        <v>761</v>
      </c>
      <c r="V33" s="267">
        <f t="shared" si="2"/>
        <v>8375</v>
      </c>
      <c r="W33" s="249"/>
      <c r="X33" s="29"/>
      <c r="Y33" s="78"/>
      <c r="Z33" s="78"/>
      <c r="AA33" s="78"/>
      <c r="AB33" s="78"/>
      <c r="AC33" s="78"/>
      <c r="AD33" s="78"/>
      <c r="AE33" s="78"/>
      <c r="AF33" s="78"/>
    </row>
    <row r="34" spans="1:32" s="20" customFormat="1" ht="30">
      <c r="A34" s="261">
        <v>15</v>
      </c>
      <c r="B34" s="280"/>
      <c r="C34" s="280" t="s">
        <v>251</v>
      </c>
      <c r="D34" s="261" t="s">
        <v>51</v>
      </c>
      <c r="E34" s="280"/>
      <c r="F34" s="280"/>
      <c r="G34" s="276" t="s">
        <v>50</v>
      </c>
      <c r="H34" s="277" t="s">
        <v>25</v>
      </c>
      <c r="I34" s="276">
        <v>85653</v>
      </c>
      <c r="J34" s="265">
        <f t="shared" ref="J34:J35" si="7">I34/72</f>
        <v>1189.6300000000001</v>
      </c>
      <c r="K34" s="261">
        <v>0.6</v>
      </c>
      <c r="L34" s="267">
        <f t="shared" si="3"/>
        <v>714</v>
      </c>
      <c r="M34" s="261"/>
      <c r="N34" s="261"/>
      <c r="O34" s="261"/>
      <c r="P34" s="261"/>
      <c r="Q34" s="267">
        <f t="shared" si="5"/>
        <v>0</v>
      </c>
      <c r="R34" s="261"/>
      <c r="S34" s="261"/>
      <c r="T34" s="267"/>
      <c r="U34" s="267">
        <f t="shared" si="1"/>
        <v>71</v>
      </c>
      <c r="V34" s="267">
        <f t="shared" si="2"/>
        <v>785</v>
      </c>
      <c r="W34" s="249"/>
      <c r="X34" s="29"/>
      <c r="Y34" s="78"/>
      <c r="Z34" s="78"/>
      <c r="AA34" s="78"/>
      <c r="AB34" s="78"/>
      <c r="AC34" s="78"/>
      <c r="AD34" s="78"/>
      <c r="AE34" s="78"/>
      <c r="AF34" s="78"/>
    </row>
    <row r="35" spans="1:32" s="20" customFormat="1" ht="30">
      <c r="A35" s="268">
        <v>16</v>
      </c>
      <c r="B35" s="275"/>
      <c r="C35" s="286" t="s">
        <v>264</v>
      </c>
      <c r="D35" s="261" t="s">
        <v>51</v>
      </c>
      <c r="E35" s="287"/>
      <c r="F35" s="287"/>
      <c r="G35" s="276" t="s">
        <v>50</v>
      </c>
      <c r="H35" s="271" t="s">
        <v>42</v>
      </c>
      <c r="I35" s="271">
        <v>85653</v>
      </c>
      <c r="J35" s="265">
        <f t="shared" si="7"/>
        <v>1189.6300000000001</v>
      </c>
      <c r="K35" s="261">
        <f>7.2+3.6+10+33.2</f>
        <v>54</v>
      </c>
      <c r="L35" s="267">
        <f t="shared" si="3"/>
        <v>64240</v>
      </c>
      <c r="M35" s="261"/>
      <c r="N35" s="261"/>
      <c r="O35" s="261"/>
      <c r="P35" s="261"/>
      <c r="Q35" s="267">
        <f t="shared" si="5"/>
        <v>0</v>
      </c>
      <c r="R35" s="261"/>
      <c r="S35" s="261"/>
      <c r="T35" s="267"/>
      <c r="U35" s="267">
        <f t="shared" si="1"/>
        <v>6424</v>
      </c>
      <c r="V35" s="267">
        <f t="shared" si="2"/>
        <v>70664</v>
      </c>
      <c r="W35" s="249"/>
      <c r="X35" s="29"/>
      <c r="Y35" s="78"/>
      <c r="Z35" s="78"/>
      <c r="AA35" s="78"/>
      <c r="AB35" s="78"/>
      <c r="AC35" s="78"/>
      <c r="AD35" s="78"/>
      <c r="AE35" s="78"/>
      <c r="AF35" s="78"/>
    </row>
    <row r="36" spans="1:32" s="20" customFormat="1" ht="15.75">
      <c r="A36" s="261"/>
      <c r="B36" s="288" t="s">
        <v>8</v>
      </c>
      <c r="C36" s="261"/>
      <c r="D36" s="261"/>
      <c r="E36" s="261"/>
      <c r="F36" s="261"/>
      <c r="G36" s="288"/>
      <c r="H36" s="261"/>
      <c r="I36" s="261"/>
      <c r="J36" s="265"/>
      <c r="K36" s="266">
        <f>SUM(K20:K35)</f>
        <v>160.19999999999999</v>
      </c>
      <c r="L36" s="266">
        <f t="shared" ref="L36:V36" si="8">SUM(L20:L35)</f>
        <v>194571</v>
      </c>
      <c r="M36" s="266">
        <f t="shared" si="8"/>
        <v>4424</v>
      </c>
      <c r="N36" s="266">
        <f t="shared" si="8"/>
        <v>0</v>
      </c>
      <c r="O36" s="266"/>
      <c r="P36" s="266">
        <f t="shared" si="8"/>
        <v>6</v>
      </c>
      <c r="Q36" s="266">
        <f t="shared" si="8"/>
        <v>339</v>
      </c>
      <c r="R36" s="266">
        <f t="shared" si="8"/>
        <v>0</v>
      </c>
      <c r="S36" s="266">
        <f t="shared" si="8"/>
        <v>0</v>
      </c>
      <c r="T36" s="266">
        <f t="shared" si="8"/>
        <v>0</v>
      </c>
      <c r="U36" s="266">
        <f t="shared" si="8"/>
        <v>19455</v>
      </c>
      <c r="V36" s="266">
        <f t="shared" si="8"/>
        <v>218789</v>
      </c>
      <c r="W36" s="249"/>
      <c r="X36" s="29"/>
      <c r="Y36" s="78"/>
      <c r="Z36" s="78"/>
      <c r="AA36" s="78"/>
      <c r="AB36" s="78"/>
      <c r="AC36" s="78"/>
      <c r="AD36" s="78"/>
      <c r="AE36" s="78"/>
      <c r="AF36" s="78"/>
    </row>
    <row r="37" spans="1:32" s="20" customFormat="1" ht="15.75">
      <c r="A37" s="289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90" t="s">
        <v>213</v>
      </c>
      <c r="P37" s="290"/>
      <c r="Q37" s="290"/>
      <c r="R37" s="290"/>
      <c r="S37" s="291"/>
      <c r="T37" s="291"/>
      <c r="U37" s="292"/>
      <c r="V37" s="292"/>
      <c r="W37" s="249"/>
      <c r="X37" s="29"/>
      <c r="Y37" s="78"/>
      <c r="Z37" s="78"/>
      <c r="AA37" s="78"/>
      <c r="AB37" s="78"/>
      <c r="AC37" s="78"/>
      <c r="AD37" s="78"/>
      <c r="AE37" s="78"/>
      <c r="AF37" s="78"/>
    </row>
    <row r="38" spans="1:32" s="20" customFormat="1" ht="15.75">
      <c r="A38" s="289"/>
      <c r="B38" s="450"/>
      <c r="C38" s="450"/>
      <c r="D38" s="451"/>
      <c r="E38" s="451"/>
      <c r="F38" s="451"/>
      <c r="G38" s="451"/>
      <c r="H38" s="451"/>
      <c r="I38" s="451"/>
      <c r="J38" s="451"/>
      <c r="K38" s="451"/>
      <c r="L38" s="451"/>
      <c r="M38" s="451"/>
      <c r="N38" s="451"/>
      <c r="O38" s="451"/>
      <c r="P38" s="451"/>
      <c r="Q38" s="451"/>
      <c r="R38" s="293"/>
      <c r="S38" s="293"/>
      <c r="T38" s="292"/>
      <c r="U38" s="292"/>
      <c r="V38" s="292"/>
      <c r="W38" s="249"/>
      <c r="X38" s="29"/>
      <c r="Y38" s="78"/>
      <c r="Z38" s="78"/>
      <c r="AA38" s="78"/>
      <c r="AB38" s="78"/>
      <c r="AC38" s="78"/>
      <c r="AD38" s="78"/>
      <c r="AE38" s="78"/>
      <c r="AF38" s="78"/>
    </row>
    <row r="39" spans="1:32" s="20" customFormat="1" ht="15.75">
      <c r="A39" s="289"/>
      <c r="B39" s="450"/>
      <c r="C39" s="450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451"/>
      <c r="P39" s="451"/>
      <c r="Q39" s="451"/>
      <c r="R39" s="293"/>
      <c r="S39" s="293"/>
      <c r="T39" s="292"/>
      <c r="U39" s="292"/>
      <c r="V39" s="292"/>
      <c r="W39" s="249"/>
      <c r="X39" s="29"/>
      <c r="Y39" s="78"/>
      <c r="Z39" s="78"/>
      <c r="AA39" s="78"/>
      <c r="AB39" s="78"/>
      <c r="AC39" s="78"/>
      <c r="AD39" s="78"/>
      <c r="AE39" s="78"/>
      <c r="AF39" s="78"/>
    </row>
    <row r="40" spans="1:32" s="20" customFormat="1" ht="15.75" hidden="1">
      <c r="A40" s="289"/>
      <c r="B40" s="450"/>
      <c r="C40" s="450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451"/>
      <c r="Q40" s="451"/>
      <c r="R40" s="293"/>
      <c r="S40" s="293"/>
      <c r="T40" s="292"/>
      <c r="U40" s="292"/>
      <c r="V40" s="292"/>
      <c r="W40" s="249"/>
      <c r="X40" s="29"/>
      <c r="Y40" s="78"/>
      <c r="Z40" s="78"/>
      <c r="AA40" s="78"/>
      <c r="AB40" s="78"/>
      <c r="AC40" s="78"/>
      <c r="AD40" s="78"/>
      <c r="AE40" s="78"/>
      <c r="AF40" s="78"/>
    </row>
    <row r="41" spans="1:32" s="20" customFormat="1" ht="15.75" hidden="1">
      <c r="A41" s="289"/>
      <c r="B41" s="450"/>
      <c r="C41" s="450"/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294"/>
      <c r="S41" s="294"/>
      <c r="T41" s="289"/>
      <c r="U41" s="292"/>
      <c r="V41" s="292"/>
      <c r="W41" s="249"/>
      <c r="X41" s="29"/>
      <c r="Y41" s="78"/>
      <c r="Z41" s="78"/>
      <c r="AA41" s="78"/>
      <c r="AB41" s="78"/>
      <c r="AC41" s="78"/>
      <c r="AD41" s="78"/>
      <c r="AE41" s="78"/>
      <c r="AF41" s="78"/>
    </row>
    <row r="42" spans="1:32" s="20" customFormat="1" ht="15.75" hidden="1">
      <c r="A42" s="292"/>
      <c r="B42" s="448"/>
      <c r="C42" s="448"/>
      <c r="D42" s="448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49"/>
      <c r="X42" s="29"/>
      <c r="Y42" s="78"/>
      <c r="Z42" s="78"/>
      <c r="AA42" s="78"/>
      <c r="AB42" s="78"/>
      <c r="AC42" s="78"/>
      <c r="AD42" s="78"/>
      <c r="AE42" s="78"/>
      <c r="AF42" s="78"/>
    </row>
    <row r="43" spans="1:32" s="20" customFormat="1" ht="15.75" hidden="1">
      <c r="A43" s="292"/>
      <c r="B43" s="448"/>
      <c r="C43" s="448"/>
      <c r="D43" s="448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49"/>
      <c r="X43" s="29"/>
      <c r="Y43" s="78"/>
      <c r="Z43" s="78"/>
      <c r="AA43" s="78"/>
      <c r="AB43" s="78"/>
      <c r="AC43" s="78"/>
      <c r="AD43" s="78"/>
      <c r="AE43" s="78"/>
      <c r="AF43" s="78"/>
    </row>
    <row r="44" spans="1:32" s="20" customFormat="1" ht="15.75">
      <c r="A44" s="292"/>
      <c r="B44" s="448"/>
      <c r="C44" s="448"/>
      <c r="D44" s="448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49"/>
      <c r="X44" s="29"/>
      <c r="Y44" s="78"/>
      <c r="Z44" s="78"/>
      <c r="AA44" s="78"/>
      <c r="AB44" s="78"/>
      <c r="AC44" s="78"/>
      <c r="AD44" s="78"/>
      <c r="AE44" s="78"/>
      <c r="AF44" s="78"/>
    </row>
    <row r="45" spans="1:32" s="20" customFormat="1" ht="15.75">
      <c r="A45" s="295" t="s">
        <v>0</v>
      </c>
      <c r="B45" s="295"/>
      <c r="C45" s="295"/>
      <c r="D45" s="295"/>
      <c r="E45" s="296"/>
      <c r="F45" s="296"/>
      <c r="G45" s="296"/>
      <c r="H45" s="296"/>
      <c r="I45" s="296"/>
      <c r="J45" s="296"/>
      <c r="K45" s="296"/>
      <c r="L45" s="296"/>
      <c r="M45" s="296"/>
      <c r="N45" s="257" t="s">
        <v>1</v>
      </c>
      <c r="O45" s="257"/>
      <c r="P45" s="257"/>
      <c r="Q45" s="257"/>
      <c r="R45" s="257"/>
      <c r="S45" s="257"/>
      <c r="T45" s="257"/>
      <c r="U45" s="258"/>
      <c r="V45" s="258"/>
      <c r="W45" s="249"/>
      <c r="X45" s="29"/>
      <c r="Y45" s="78"/>
      <c r="Z45" s="78"/>
      <c r="AA45" s="78"/>
      <c r="AB45" s="78"/>
      <c r="AC45" s="78"/>
      <c r="AD45" s="78"/>
      <c r="AE45" s="78"/>
      <c r="AF45" s="78"/>
    </row>
    <row r="46" spans="1:32" s="20" customFormat="1" ht="15.75">
      <c r="A46" s="295" t="s">
        <v>2</v>
      </c>
      <c r="B46" s="295"/>
      <c r="C46" s="295"/>
      <c r="D46" s="295"/>
      <c r="E46" s="296"/>
      <c r="F46" s="296"/>
      <c r="G46" s="296"/>
      <c r="H46" s="296"/>
      <c r="I46" s="296"/>
      <c r="J46" s="296"/>
      <c r="K46" s="296"/>
      <c r="L46" s="296"/>
      <c r="M46" s="296"/>
      <c r="N46" s="257" t="s">
        <v>3</v>
      </c>
      <c r="O46" s="257"/>
      <c r="P46" s="257"/>
      <c r="Q46" s="257"/>
      <c r="R46" s="257"/>
      <c r="S46" s="257"/>
      <c r="T46" s="257"/>
      <c r="U46" s="258"/>
      <c r="V46" s="258"/>
      <c r="W46" s="249"/>
      <c r="X46" s="29"/>
      <c r="Y46" s="78"/>
      <c r="Z46" s="78"/>
      <c r="AA46" s="78"/>
      <c r="AB46" s="78"/>
      <c r="AC46" s="78"/>
      <c r="AD46" s="78"/>
      <c r="AE46" s="78"/>
      <c r="AF46" s="78"/>
    </row>
    <row r="47" spans="1:32" s="20" customFormat="1" ht="15.75">
      <c r="A47" s="295"/>
      <c r="B47" s="295"/>
      <c r="C47" s="295"/>
      <c r="D47" s="295"/>
      <c r="E47" s="296"/>
      <c r="F47" s="296"/>
      <c r="G47" s="296"/>
      <c r="H47" s="296"/>
      <c r="I47" s="296"/>
      <c r="J47" s="296"/>
      <c r="K47" s="296"/>
      <c r="L47" s="296"/>
      <c r="M47" s="296"/>
      <c r="N47" s="256" t="s">
        <v>4</v>
      </c>
      <c r="O47" s="256"/>
      <c r="P47" s="256"/>
      <c r="Q47" s="256"/>
      <c r="R47" s="256"/>
      <c r="S47" s="256"/>
      <c r="T47" s="256"/>
      <c r="U47" s="258"/>
      <c r="V47" s="258"/>
      <c r="W47" s="249"/>
      <c r="X47" s="29"/>
      <c r="Y47" s="78"/>
      <c r="Z47" s="78"/>
      <c r="AA47" s="78"/>
      <c r="AB47" s="78"/>
      <c r="AC47" s="78"/>
      <c r="AD47" s="78"/>
      <c r="AE47" s="78"/>
      <c r="AF47" s="78"/>
    </row>
    <row r="48" spans="1:32" s="20" customFormat="1" ht="15.75">
      <c r="A48" s="295" t="s">
        <v>5</v>
      </c>
      <c r="B48" s="295"/>
      <c r="C48" s="295" t="s">
        <v>6</v>
      </c>
      <c r="D48" s="295"/>
      <c r="E48" s="445" t="s">
        <v>183</v>
      </c>
      <c r="F48" s="445"/>
      <c r="G48" s="445"/>
      <c r="H48" s="445"/>
      <c r="I48" s="445"/>
      <c r="J48" s="445"/>
      <c r="K48" s="445"/>
      <c r="L48" s="445"/>
      <c r="M48" s="258"/>
      <c r="N48" s="257" t="s">
        <v>139</v>
      </c>
      <c r="O48" s="257"/>
      <c r="P48" s="257"/>
      <c r="Q48" s="257"/>
      <c r="R48" s="257"/>
      <c r="S48" s="257"/>
      <c r="T48" s="257"/>
      <c r="U48" s="258"/>
      <c r="V48" s="258"/>
      <c r="W48" s="249"/>
      <c r="X48" s="29"/>
      <c r="Y48" s="78"/>
      <c r="Z48" s="78"/>
      <c r="AA48" s="78"/>
      <c r="AB48" s="78"/>
      <c r="AC48" s="78"/>
      <c r="AD48" s="78"/>
      <c r="AE48" s="78"/>
      <c r="AF48" s="78"/>
    </row>
    <row r="49" spans="1:32" s="20" customFormat="1" ht="15.75">
      <c r="A49" s="295"/>
      <c r="B49" s="295"/>
      <c r="C49" s="295"/>
      <c r="D49" s="295"/>
      <c r="E49" s="446" t="s">
        <v>184</v>
      </c>
      <c r="F49" s="446"/>
      <c r="G49" s="446"/>
      <c r="H49" s="446"/>
      <c r="I49" s="446"/>
      <c r="J49" s="446"/>
      <c r="K49" s="446"/>
      <c r="L49" s="446"/>
      <c r="M49" s="446"/>
      <c r="N49" s="296"/>
      <c r="O49" s="296"/>
      <c r="P49" s="296"/>
      <c r="Q49" s="296"/>
      <c r="R49" s="296"/>
      <c r="S49" s="296"/>
      <c r="T49" s="296"/>
      <c r="U49" s="296"/>
      <c r="V49" s="296"/>
      <c r="W49" s="249"/>
      <c r="X49" s="29"/>
      <c r="Y49" s="78"/>
      <c r="Z49" s="78"/>
      <c r="AA49" s="78"/>
      <c r="AB49" s="78"/>
      <c r="AC49" s="78"/>
      <c r="AD49" s="78"/>
      <c r="AE49" s="78"/>
      <c r="AF49" s="78"/>
    </row>
    <row r="50" spans="1:32" s="20" customFormat="1" ht="15.75">
      <c r="A50" s="296"/>
      <c r="B50" s="296"/>
      <c r="C50" s="296"/>
      <c r="D50" s="296"/>
      <c r="E50" s="447" t="s">
        <v>219</v>
      </c>
      <c r="F50" s="447"/>
      <c r="G50" s="447"/>
      <c r="H50" s="447"/>
      <c r="I50" s="447"/>
      <c r="J50" s="447"/>
      <c r="K50" s="447"/>
      <c r="L50" s="447"/>
      <c r="M50" s="447"/>
      <c r="N50" s="296"/>
      <c r="O50" s="296"/>
      <c r="P50" s="296"/>
      <c r="Q50" s="296"/>
      <c r="R50" s="296"/>
      <c r="S50" s="296"/>
      <c r="T50" s="296"/>
      <c r="U50" s="296"/>
      <c r="V50" s="296"/>
      <c r="W50" s="249"/>
      <c r="X50" s="29"/>
      <c r="Y50" s="78"/>
      <c r="Z50" s="78"/>
      <c r="AA50" s="78"/>
      <c r="AB50" s="78"/>
      <c r="AC50" s="78"/>
      <c r="AD50" s="78"/>
      <c r="AE50" s="78"/>
      <c r="AF50" s="78"/>
    </row>
    <row r="51" spans="1:32" s="20" customFormat="1" ht="18">
      <c r="A51" s="297"/>
      <c r="B51" s="297"/>
      <c r="C51" s="297"/>
      <c r="D51" s="297"/>
      <c r="E51" s="449" t="s">
        <v>7</v>
      </c>
      <c r="F51" s="449"/>
      <c r="G51" s="449"/>
      <c r="H51" s="449"/>
      <c r="I51" s="449"/>
      <c r="J51" s="449"/>
      <c r="K51" s="449"/>
      <c r="L51" s="449"/>
      <c r="M51" s="449"/>
      <c r="N51" s="297"/>
      <c r="O51" s="297"/>
      <c r="P51" s="297"/>
      <c r="Q51" s="297"/>
      <c r="R51" s="297"/>
      <c r="S51" s="297"/>
      <c r="T51" s="297"/>
      <c r="U51" s="297"/>
      <c r="V51" s="297"/>
      <c r="W51" s="249"/>
      <c r="X51" s="29"/>
      <c r="Y51" s="78"/>
      <c r="Z51" s="78"/>
      <c r="AA51" s="78"/>
      <c r="AB51" s="78"/>
      <c r="AC51" s="78"/>
      <c r="AD51" s="78"/>
      <c r="AE51" s="78"/>
      <c r="AF51" s="78"/>
    </row>
    <row r="52" spans="1:32" s="20" customFormat="1" ht="15.75">
      <c r="A52" s="296"/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 t="s">
        <v>185</v>
      </c>
      <c r="R52" s="296"/>
      <c r="S52" s="296"/>
      <c r="T52" s="296"/>
      <c r="U52" s="296"/>
      <c r="V52" s="296"/>
      <c r="W52" s="249"/>
      <c r="X52" s="29"/>
      <c r="Y52" s="78"/>
      <c r="Z52" s="78"/>
      <c r="AA52" s="78"/>
      <c r="AB52" s="78"/>
      <c r="AC52" s="78"/>
      <c r="AD52" s="78"/>
      <c r="AE52" s="78"/>
      <c r="AF52" s="78"/>
    </row>
    <row r="53" spans="1:32" s="20" customFormat="1" ht="15.75">
      <c r="A53" s="296"/>
      <c r="B53" s="296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 t="s">
        <v>265</v>
      </c>
      <c r="R53" s="296"/>
      <c r="S53" s="296"/>
      <c r="T53" s="296"/>
      <c r="U53" s="296"/>
      <c r="V53" s="296"/>
      <c r="W53" s="249"/>
      <c r="X53" s="29"/>
      <c r="Y53" s="78"/>
      <c r="Z53" s="78"/>
      <c r="AA53" s="78"/>
      <c r="AB53" s="78"/>
      <c r="AC53" s="78"/>
      <c r="AD53" s="78"/>
      <c r="AE53" s="78"/>
      <c r="AF53" s="78"/>
    </row>
    <row r="54" spans="1:32" s="20" customFormat="1" ht="15.75">
      <c r="A54" s="296"/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 t="s">
        <v>186</v>
      </c>
      <c r="R54" s="296"/>
      <c r="S54" s="296"/>
      <c r="T54" s="296" t="s">
        <v>244</v>
      </c>
      <c r="U54" s="296"/>
      <c r="V54" s="296"/>
      <c r="W54" s="249"/>
      <c r="X54" s="29"/>
      <c r="Y54" s="78"/>
      <c r="Z54" s="78"/>
      <c r="AA54" s="78"/>
      <c r="AB54" s="78"/>
      <c r="AC54" s="78"/>
      <c r="AD54" s="78"/>
      <c r="AE54" s="78"/>
      <c r="AF54" s="78"/>
    </row>
    <row r="55" spans="1:32" s="20" customFormat="1" ht="15.75">
      <c r="A55" s="296"/>
      <c r="B55" s="296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 t="s">
        <v>188</v>
      </c>
      <c r="R55" s="296"/>
      <c r="S55" s="296"/>
      <c r="T55" s="296">
        <v>1</v>
      </c>
      <c r="U55" s="296"/>
      <c r="V55" s="296"/>
      <c r="W55" s="249"/>
      <c r="X55" s="29"/>
      <c r="Y55" s="78"/>
      <c r="Z55" s="78"/>
      <c r="AA55" s="78"/>
      <c r="AB55" s="78"/>
      <c r="AC55" s="78"/>
      <c r="AD55" s="78"/>
      <c r="AE55" s="78"/>
      <c r="AF55" s="78"/>
    </row>
    <row r="56" spans="1:32" s="20" customFormat="1" ht="15.75">
      <c r="A56" s="296"/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 t="s">
        <v>189</v>
      </c>
      <c r="R56" s="296"/>
      <c r="S56" s="296"/>
      <c r="T56" s="296">
        <v>25</v>
      </c>
      <c r="U56" s="296" t="s">
        <v>190</v>
      </c>
      <c r="V56" s="296"/>
      <c r="W56" s="249"/>
      <c r="X56" s="29"/>
      <c r="Y56" s="78"/>
      <c r="Z56" s="78"/>
      <c r="AA56" s="78"/>
      <c r="AB56" s="78"/>
      <c r="AC56" s="78"/>
      <c r="AD56" s="78"/>
      <c r="AE56" s="78"/>
      <c r="AF56" s="78"/>
    </row>
    <row r="57" spans="1:32" s="20" customFormat="1" ht="15.75">
      <c r="A57" s="296"/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 t="s">
        <v>191</v>
      </c>
      <c r="R57" s="296"/>
      <c r="S57" s="296"/>
      <c r="T57" s="296">
        <v>25</v>
      </c>
      <c r="U57" s="298">
        <f>T57*100/T56</f>
        <v>100</v>
      </c>
      <c r="V57" s="296" t="s">
        <v>17</v>
      </c>
      <c r="W57" s="249"/>
      <c r="X57" s="29"/>
      <c r="Y57" s="78"/>
      <c r="Z57" s="78"/>
      <c r="AA57" s="78"/>
      <c r="AB57" s="78"/>
      <c r="AC57" s="78"/>
      <c r="AD57" s="78"/>
      <c r="AE57" s="78"/>
      <c r="AF57" s="78"/>
    </row>
    <row r="58" spans="1:32" s="20" customFormat="1" ht="15.75">
      <c r="A58" s="296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 t="s">
        <v>192</v>
      </c>
      <c r="R58" s="296"/>
      <c r="S58" s="296"/>
      <c r="T58" s="296">
        <v>0</v>
      </c>
      <c r="U58" s="298">
        <f>T58*100/T56</f>
        <v>0</v>
      </c>
      <c r="V58" s="296" t="s">
        <v>17</v>
      </c>
      <c r="W58" s="249"/>
      <c r="X58" s="29"/>
      <c r="Y58" s="78"/>
      <c r="Z58" s="78"/>
      <c r="AA58" s="78"/>
      <c r="AB58" s="78"/>
      <c r="AC58" s="78"/>
      <c r="AD58" s="78"/>
      <c r="AE58" s="78"/>
      <c r="AF58" s="78"/>
    </row>
    <row r="59" spans="1:32" s="20" customFormat="1" ht="15.75">
      <c r="A59" s="296"/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 t="s">
        <v>193</v>
      </c>
      <c r="R59" s="296"/>
      <c r="S59" s="296"/>
      <c r="T59" s="296">
        <f>K83</f>
        <v>198.6</v>
      </c>
      <c r="U59" s="296"/>
      <c r="V59" s="296"/>
      <c r="W59" s="249"/>
      <c r="X59" s="29"/>
      <c r="Y59" s="78"/>
      <c r="Z59" s="78"/>
      <c r="AA59" s="78"/>
      <c r="AB59" s="78"/>
      <c r="AC59" s="78"/>
      <c r="AD59" s="78"/>
      <c r="AE59" s="78"/>
      <c r="AF59" s="78"/>
    </row>
    <row r="60" spans="1:32" s="20" customFormat="1" ht="15.75">
      <c r="A60" s="296"/>
      <c r="B60" s="296" t="s">
        <v>266</v>
      </c>
      <c r="C60" s="296" t="s">
        <v>246</v>
      </c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49"/>
      <c r="X60" s="29"/>
      <c r="Y60" s="78"/>
      <c r="Z60" s="78"/>
      <c r="AA60" s="78"/>
      <c r="AB60" s="78"/>
      <c r="AC60" s="78"/>
      <c r="AD60" s="78"/>
      <c r="AE60" s="78"/>
      <c r="AF60" s="78"/>
    </row>
    <row r="61" spans="1:32" s="21" customFormat="1" ht="15" customHeight="1">
      <c r="A61" s="438" t="s">
        <v>195</v>
      </c>
      <c r="B61" s="438" t="s">
        <v>196</v>
      </c>
      <c r="C61" s="438" t="s">
        <v>197</v>
      </c>
      <c r="D61" s="438" t="s">
        <v>198</v>
      </c>
      <c r="E61" s="438" t="s">
        <v>10</v>
      </c>
      <c r="F61" s="438" t="s">
        <v>199</v>
      </c>
      <c r="G61" s="438" t="s">
        <v>200</v>
      </c>
      <c r="H61" s="438" t="s">
        <v>201</v>
      </c>
      <c r="I61" s="442" t="s">
        <v>202</v>
      </c>
      <c r="J61" s="438" t="s">
        <v>11</v>
      </c>
      <c r="K61" s="438" t="s">
        <v>203</v>
      </c>
      <c r="L61" s="438" t="s">
        <v>12</v>
      </c>
      <c r="M61" s="441" t="s">
        <v>204</v>
      </c>
      <c r="N61" s="441"/>
      <c r="O61" s="441"/>
      <c r="P61" s="441"/>
      <c r="Q61" s="441"/>
      <c r="R61" s="441"/>
      <c r="S61" s="441"/>
      <c r="T61" s="441"/>
      <c r="U61" s="438" t="s">
        <v>205</v>
      </c>
      <c r="V61" s="438" t="s">
        <v>206</v>
      </c>
      <c r="W61" s="249"/>
      <c r="X61" s="29"/>
      <c r="Y61" s="78"/>
      <c r="Z61" s="78"/>
      <c r="AA61" s="78"/>
      <c r="AB61" s="78"/>
      <c r="AC61" s="78"/>
      <c r="AD61" s="78"/>
      <c r="AE61" s="78"/>
      <c r="AF61" s="78"/>
    </row>
    <row r="62" spans="1:32" s="21" customFormat="1" ht="15.75">
      <c r="A62" s="439"/>
      <c r="B62" s="439"/>
      <c r="C62" s="439"/>
      <c r="D62" s="439"/>
      <c r="E62" s="439"/>
      <c r="F62" s="439"/>
      <c r="G62" s="439"/>
      <c r="H62" s="439"/>
      <c r="I62" s="443"/>
      <c r="J62" s="439"/>
      <c r="K62" s="439"/>
      <c r="L62" s="439"/>
      <c r="M62" s="438" t="s">
        <v>207</v>
      </c>
      <c r="N62" s="438" t="s">
        <v>15</v>
      </c>
      <c r="O62" s="441" t="s">
        <v>16</v>
      </c>
      <c r="P62" s="441"/>
      <c r="Q62" s="441"/>
      <c r="R62" s="438" t="s">
        <v>215</v>
      </c>
      <c r="S62" s="438"/>
      <c r="T62" s="438"/>
      <c r="U62" s="439"/>
      <c r="V62" s="439"/>
      <c r="W62" s="249"/>
      <c r="X62" s="29"/>
      <c r="Y62" s="78"/>
      <c r="Z62" s="78"/>
      <c r="AA62" s="78"/>
      <c r="AB62" s="78"/>
      <c r="AC62" s="78"/>
      <c r="AD62" s="78"/>
      <c r="AE62" s="78"/>
      <c r="AF62" s="78"/>
    </row>
    <row r="63" spans="1:32" s="21" customFormat="1" ht="116.25" customHeight="1">
      <c r="A63" s="440"/>
      <c r="B63" s="440"/>
      <c r="C63" s="440"/>
      <c r="D63" s="440"/>
      <c r="E63" s="440"/>
      <c r="F63" s="440"/>
      <c r="G63" s="440"/>
      <c r="H63" s="440"/>
      <c r="I63" s="444"/>
      <c r="J63" s="440"/>
      <c r="K63" s="440"/>
      <c r="L63" s="440"/>
      <c r="M63" s="440"/>
      <c r="N63" s="440"/>
      <c r="O63" s="261" t="s">
        <v>17</v>
      </c>
      <c r="P63" s="261" t="s">
        <v>18</v>
      </c>
      <c r="Q63" s="261" t="s">
        <v>19</v>
      </c>
      <c r="R63" s="440"/>
      <c r="S63" s="440"/>
      <c r="T63" s="440"/>
      <c r="U63" s="440"/>
      <c r="V63" s="440"/>
      <c r="W63" s="249"/>
      <c r="X63" s="29"/>
      <c r="Y63" s="78"/>
      <c r="Z63" s="78"/>
      <c r="AA63" s="78"/>
      <c r="AB63" s="78"/>
      <c r="AC63" s="78"/>
      <c r="AD63" s="78"/>
      <c r="AE63" s="78"/>
      <c r="AF63" s="78"/>
    </row>
    <row r="64" spans="1:32" s="20" customFormat="1" ht="60">
      <c r="A64" s="261">
        <v>1</v>
      </c>
      <c r="B64" s="262"/>
      <c r="C64" s="261" t="s">
        <v>520</v>
      </c>
      <c r="D64" s="261" t="s">
        <v>51</v>
      </c>
      <c r="E64" s="261" t="s">
        <v>92</v>
      </c>
      <c r="F64" s="59" t="s">
        <v>93</v>
      </c>
      <c r="G64" s="263" t="s">
        <v>163</v>
      </c>
      <c r="H64" s="264" t="s">
        <v>25</v>
      </c>
      <c r="I64" s="264">
        <v>93971</v>
      </c>
      <c r="J64" s="265">
        <f>I64/72</f>
        <v>1305.1500000000001</v>
      </c>
      <c r="K64" s="265">
        <f>17+3.8</f>
        <v>20.8</v>
      </c>
      <c r="L64" s="267">
        <f>J64*K64</f>
        <v>27147</v>
      </c>
      <c r="M64" s="261">
        <v>4424</v>
      </c>
      <c r="N64" s="261"/>
      <c r="O64" s="261">
        <v>25</v>
      </c>
      <c r="P64" s="261">
        <v>10.199999999999999</v>
      </c>
      <c r="Q64" s="267">
        <f>17697*25%/72*P64</f>
        <v>627</v>
      </c>
      <c r="R64" s="267"/>
      <c r="S64" s="267"/>
      <c r="T64" s="267"/>
      <c r="U64" s="267">
        <f t="shared" ref="U64:U82" si="9">L64*10%</f>
        <v>2715</v>
      </c>
      <c r="V64" s="267">
        <f t="shared" ref="V64:V82" si="10">M64+N64+Q64+R64+T64+U64+S64+L64</f>
        <v>34913</v>
      </c>
      <c r="W64" s="249"/>
      <c r="X64" s="29"/>
      <c r="Y64" s="78"/>
      <c r="Z64" s="78"/>
      <c r="AA64" s="78"/>
      <c r="AB64" s="78"/>
      <c r="AC64" s="78"/>
      <c r="AD64" s="78"/>
      <c r="AE64" s="78"/>
      <c r="AF64" s="78"/>
    </row>
    <row r="65" spans="1:155" s="20" customFormat="1" ht="36">
      <c r="A65" s="268">
        <v>2</v>
      </c>
      <c r="B65" s="269"/>
      <c r="C65" s="274" t="s">
        <v>248</v>
      </c>
      <c r="D65" s="261" t="s">
        <v>51</v>
      </c>
      <c r="E65" s="269" t="s">
        <v>94</v>
      </c>
      <c r="F65" s="58" t="s">
        <v>95</v>
      </c>
      <c r="G65" s="271" t="s">
        <v>164</v>
      </c>
      <c r="H65" s="271" t="s">
        <v>25</v>
      </c>
      <c r="I65" s="271">
        <v>93971</v>
      </c>
      <c r="J65" s="265">
        <f t="shared" ref="J65:J82" si="11">I65/72</f>
        <v>1305.1500000000001</v>
      </c>
      <c r="K65" s="265">
        <v>17</v>
      </c>
      <c r="L65" s="267">
        <f t="shared" ref="L65:L82" si="12">J65*K65</f>
        <v>22188</v>
      </c>
      <c r="M65" s="261"/>
      <c r="N65" s="261"/>
      <c r="O65" s="261">
        <v>25</v>
      </c>
      <c r="P65" s="261">
        <v>10.199999999999999</v>
      </c>
      <c r="Q65" s="267">
        <f t="shared" ref="Q65" si="13">17697*25%/72*P65</f>
        <v>627</v>
      </c>
      <c r="R65" s="261"/>
      <c r="S65" s="261"/>
      <c r="T65" s="267"/>
      <c r="U65" s="267">
        <f t="shared" si="9"/>
        <v>2219</v>
      </c>
      <c r="V65" s="267">
        <f t="shared" si="10"/>
        <v>25034</v>
      </c>
      <c r="W65" s="249"/>
      <c r="X65" s="29"/>
      <c r="Y65" s="78"/>
      <c r="Z65" s="78"/>
      <c r="AA65" s="78"/>
      <c r="AB65" s="78"/>
      <c r="AC65" s="78"/>
      <c r="AD65" s="78"/>
      <c r="AE65" s="78"/>
      <c r="AF65" s="78"/>
    </row>
    <row r="66" spans="1:155" s="20" customFormat="1" ht="60">
      <c r="A66" s="261">
        <v>3</v>
      </c>
      <c r="B66" s="269"/>
      <c r="C66" s="270" t="s">
        <v>60</v>
      </c>
      <c r="D66" s="261" t="s">
        <v>51</v>
      </c>
      <c r="E66" s="272" t="s">
        <v>61</v>
      </c>
      <c r="F66" s="58" t="s">
        <v>62</v>
      </c>
      <c r="G66" s="271" t="s">
        <v>156</v>
      </c>
      <c r="H66" s="264" t="s">
        <v>25</v>
      </c>
      <c r="I66" s="271">
        <v>89016</v>
      </c>
      <c r="J66" s="265">
        <f t="shared" si="11"/>
        <v>1236.33</v>
      </c>
      <c r="K66" s="265">
        <v>14</v>
      </c>
      <c r="L66" s="267">
        <f t="shared" si="12"/>
        <v>17309</v>
      </c>
      <c r="M66" s="261"/>
      <c r="N66" s="261"/>
      <c r="O66" s="261">
        <v>25</v>
      </c>
      <c r="P66" s="261">
        <v>5.6</v>
      </c>
      <c r="Q66" s="267">
        <f>17697*25%/72*P66</f>
        <v>344</v>
      </c>
      <c r="R66" s="261"/>
      <c r="S66" s="261"/>
      <c r="T66" s="267"/>
      <c r="U66" s="267">
        <f t="shared" si="9"/>
        <v>1731</v>
      </c>
      <c r="V66" s="267">
        <f t="shared" si="10"/>
        <v>19384</v>
      </c>
      <c r="W66" s="249"/>
      <c r="X66" s="29"/>
      <c r="Y66" s="78"/>
      <c r="Z66" s="78"/>
      <c r="AA66" s="78"/>
      <c r="AB66" s="78"/>
      <c r="AC66" s="78"/>
      <c r="AD66" s="78"/>
      <c r="AE66" s="78"/>
      <c r="AF66" s="78"/>
    </row>
    <row r="67" spans="1:155" s="20" customFormat="1" ht="45">
      <c r="A67" s="268">
        <v>4</v>
      </c>
      <c r="B67" s="275"/>
      <c r="C67" s="276" t="s">
        <v>77</v>
      </c>
      <c r="D67" s="261" t="s">
        <v>51</v>
      </c>
      <c r="E67" s="275" t="s">
        <v>228</v>
      </c>
      <c r="F67" s="46" t="s">
        <v>229</v>
      </c>
      <c r="G67" s="276" t="s">
        <v>227</v>
      </c>
      <c r="H67" s="276" t="s">
        <v>25</v>
      </c>
      <c r="I67" s="276">
        <v>85653</v>
      </c>
      <c r="J67" s="265">
        <f t="shared" si="11"/>
        <v>1189.6300000000001</v>
      </c>
      <c r="K67" s="265">
        <v>7.2</v>
      </c>
      <c r="L67" s="267">
        <f t="shared" si="12"/>
        <v>8565</v>
      </c>
      <c r="M67" s="261"/>
      <c r="N67" s="261"/>
      <c r="O67" s="261">
        <v>20</v>
      </c>
      <c r="P67" s="261">
        <v>7.2</v>
      </c>
      <c r="Q67" s="267">
        <f t="shared" ref="Q67:Q75" si="14">17697*20%/72*P67</f>
        <v>354</v>
      </c>
      <c r="R67" s="261"/>
      <c r="S67" s="261"/>
      <c r="T67" s="267"/>
      <c r="U67" s="267">
        <f t="shared" si="9"/>
        <v>857</v>
      </c>
      <c r="V67" s="267">
        <f t="shared" si="10"/>
        <v>9776</v>
      </c>
      <c r="W67" s="249"/>
      <c r="X67" s="29"/>
      <c r="Y67" s="78"/>
      <c r="Z67" s="78"/>
      <c r="AA67" s="78"/>
      <c r="AB67" s="78"/>
      <c r="AC67" s="78"/>
      <c r="AD67" s="78"/>
      <c r="AE67" s="78"/>
      <c r="AF67" s="78"/>
    </row>
    <row r="68" spans="1:155" s="20" customFormat="1" ht="30">
      <c r="A68" s="261">
        <v>5</v>
      </c>
      <c r="B68" s="269"/>
      <c r="C68" s="276" t="s">
        <v>77</v>
      </c>
      <c r="D68" s="261" t="s">
        <v>51</v>
      </c>
      <c r="E68" s="272" t="s">
        <v>75</v>
      </c>
      <c r="F68" s="58" t="s">
        <v>76</v>
      </c>
      <c r="G68" s="269" t="s">
        <v>152</v>
      </c>
      <c r="H68" s="264" t="s">
        <v>25</v>
      </c>
      <c r="I68" s="271">
        <v>90609</v>
      </c>
      <c r="J68" s="265">
        <f t="shared" si="11"/>
        <v>1258.46</v>
      </c>
      <c r="K68" s="265">
        <v>7.2</v>
      </c>
      <c r="L68" s="267">
        <f t="shared" si="12"/>
        <v>9061</v>
      </c>
      <c r="M68" s="261"/>
      <c r="N68" s="261"/>
      <c r="O68" s="261">
        <v>20</v>
      </c>
      <c r="P68" s="266">
        <v>7.2</v>
      </c>
      <c r="Q68" s="267">
        <f t="shared" si="14"/>
        <v>354</v>
      </c>
      <c r="R68" s="261"/>
      <c r="S68" s="261"/>
      <c r="T68" s="267"/>
      <c r="U68" s="267">
        <f t="shared" si="9"/>
        <v>906</v>
      </c>
      <c r="V68" s="267">
        <f t="shared" si="10"/>
        <v>10321</v>
      </c>
      <c r="W68" s="249"/>
      <c r="X68" s="29"/>
      <c r="Y68" s="78"/>
      <c r="Z68" s="78"/>
      <c r="AA68" s="78"/>
      <c r="AB68" s="78"/>
      <c r="AC68" s="78"/>
      <c r="AD68" s="78"/>
      <c r="AE68" s="78"/>
      <c r="AF68" s="78"/>
    </row>
    <row r="69" spans="1:155" s="20" customFormat="1" ht="30">
      <c r="A69" s="268">
        <v>6</v>
      </c>
      <c r="B69" s="263"/>
      <c r="C69" s="274" t="s">
        <v>212</v>
      </c>
      <c r="D69" s="261" t="s">
        <v>51</v>
      </c>
      <c r="E69" s="263" t="s">
        <v>68</v>
      </c>
      <c r="F69" s="60" t="s">
        <v>69</v>
      </c>
      <c r="G69" s="263" t="s">
        <v>151</v>
      </c>
      <c r="H69" s="264" t="s">
        <v>25</v>
      </c>
      <c r="I69" s="264">
        <v>93971</v>
      </c>
      <c r="J69" s="265">
        <f t="shared" si="11"/>
        <v>1305.1500000000001</v>
      </c>
      <c r="K69" s="265">
        <v>9</v>
      </c>
      <c r="L69" s="267">
        <f t="shared" si="12"/>
        <v>11746</v>
      </c>
      <c r="M69" s="261"/>
      <c r="N69" s="261"/>
      <c r="O69" s="261"/>
      <c r="P69" s="261"/>
      <c r="Q69" s="267">
        <f t="shared" si="14"/>
        <v>0</v>
      </c>
      <c r="R69" s="261"/>
      <c r="S69" s="261"/>
      <c r="T69" s="267"/>
      <c r="U69" s="267">
        <f t="shared" si="9"/>
        <v>1175</v>
      </c>
      <c r="V69" s="267">
        <f t="shared" si="10"/>
        <v>12921</v>
      </c>
      <c r="W69" s="249"/>
      <c r="X69" s="243"/>
      <c r="Y69" s="105"/>
      <c r="Z69" s="105"/>
      <c r="AA69" s="105"/>
      <c r="AB69" s="105"/>
      <c r="AC69" s="105"/>
      <c r="AD69" s="105"/>
      <c r="AE69" s="105"/>
      <c r="AF69" s="105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</row>
    <row r="70" spans="1:155" s="23" customFormat="1" ht="86.25" customHeight="1">
      <c r="A70" s="261">
        <v>7</v>
      </c>
      <c r="B70" s="275"/>
      <c r="C70" s="275" t="s">
        <v>224</v>
      </c>
      <c r="D70" s="261" t="s">
        <v>51</v>
      </c>
      <c r="E70" s="275" t="s">
        <v>220</v>
      </c>
      <c r="F70" s="46" t="s">
        <v>221</v>
      </c>
      <c r="G70" s="275" t="s">
        <v>146</v>
      </c>
      <c r="H70" s="277" t="s">
        <v>25</v>
      </c>
      <c r="I70" s="287">
        <v>80875</v>
      </c>
      <c r="J70" s="265">
        <f t="shared" si="11"/>
        <v>1123.26</v>
      </c>
      <c r="K70" s="265">
        <f>3.8+7.2</f>
        <v>11</v>
      </c>
      <c r="L70" s="267">
        <f t="shared" si="12"/>
        <v>12356</v>
      </c>
      <c r="M70" s="261"/>
      <c r="N70" s="261"/>
      <c r="O70" s="261"/>
      <c r="P70" s="261"/>
      <c r="Q70" s="267">
        <f t="shared" si="14"/>
        <v>0</v>
      </c>
      <c r="R70" s="261"/>
      <c r="S70" s="261"/>
      <c r="T70" s="267"/>
      <c r="U70" s="267">
        <f t="shared" si="9"/>
        <v>1236</v>
      </c>
      <c r="V70" s="267">
        <f t="shared" si="10"/>
        <v>13592</v>
      </c>
      <c r="W70" s="250"/>
      <c r="X70" s="243"/>
      <c r="Y70" s="105"/>
      <c r="Z70" s="105"/>
      <c r="AA70" s="105"/>
      <c r="AB70" s="105"/>
      <c r="AC70" s="105"/>
      <c r="AD70" s="105"/>
      <c r="AE70" s="105"/>
      <c r="AF70" s="105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</row>
    <row r="71" spans="1:155" s="20" customFormat="1" ht="42.75" customHeight="1">
      <c r="A71" s="268">
        <v>8</v>
      </c>
      <c r="B71" s="263"/>
      <c r="C71" s="274" t="s">
        <v>117</v>
      </c>
      <c r="D71" s="261" t="s">
        <v>51</v>
      </c>
      <c r="E71" s="263" t="s">
        <v>111</v>
      </c>
      <c r="F71" s="60" t="s">
        <v>118</v>
      </c>
      <c r="G71" s="263" t="s">
        <v>171</v>
      </c>
      <c r="H71" s="264" t="s">
        <v>25</v>
      </c>
      <c r="I71" s="264">
        <v>92201</v>
      </c>
      <c r="J71" s="265">
        <f t="shared" si="11"/>
        <v>1280.57</v>
      </c>
      <c r="K71" s="299">
        <v>15.6</v>
      </c>
      <c r="L71" s="300">
        <f t="shared" si="12"/>
        <v>19977</v>
      </c>
      <c r="M71" s="288"/>
      <c r="N71" s="288"/>
      <c r="O71" s="288">
        <v>20</v>
      </c>
      <c r="P71" s="288">
        <v>15.6</v>
      </c>
      <c r="Q71" s="300">
        <f t="shared" si="14"/>
        <v>767</v>
      </c>
      <c r="R71" s="288"/>
      <c r="S71" s="288"/>
      <c r="T71" s="300"/>
      <c r="U71" s="267">
        <f t="shared" si="9"/>
        <v>1998</v>
      </c>
      <c r="V71" s="267">
        <f t="shared" si="10"/>
        <v>22742</v>
      </c>
      <c r="W71" s="249"/>
      <c r="X71" s="29"/>
      <c r="Y71" s="78"/>
      <c r="Z71" s="78"/>
      <c r="AA71" s="78"/>
      <c r="AB71" s="78"/>
      <c r="AC71" s="78"/>
      <c r="AD71" s="78"/>
      <c r="AE71" s="78"/>
      <c r="AF71" s="78"/>
    </row>
    <row r="72" spans="1:155" s="20" customFormat="1" ht="60">
      <c r="A72" s="261">
        <v>9</v>
      </c>
      <c r="B72" s="275"/>
      <c r="C72" s="274" t="s">
        <v>33</v>
      </c>
      <c r="D72" s="261" t="s">
        <v>51</v>
      </c>
      <c r="E72" s="275" t="s">
        <v>34</v>
      </c>
      <c r="F72" s="46" t="s">
        <v>35</v>
      </c>
      <c r="G72" s="271" t="s">
        <v>141</v>
      </c>
      <c r="H72" s="271" t="s">
        <v>25</v>
      </c>
      <c r="I72" s="271">
        <v>85653</v>
      </c>
      <c r="J72" s="265">
        <f t="shared" si="11"/>
        <v>1189.6300000000001</v>
      </c>
      <c r="K72" s="266">
        <v>7.6</v>
      </c>
      <c r="L72" s="267">
        <f t="shared" si="12"/>
        <v>9041</v>
      </c>
      <c r="M72" s="261"/>
      <c r="N72" s="261"/>
      <c r="O72" s="261"/>
      <c r="P72" s="261"/>
      <c r="Q72" s="267">
        <f t="shared" si="14"/>
        <v>0</v>
      </c>
      <c r="R72" s="261"/>
      <c r="S72" s="261"/>
      <c r="T72" s="267"/>
      <c r="U72" s="267">
        <f t="shared" si="9"/>
        <v>904</v>
      </c>
      <c r="V72" s="267">
        <f t="shared" si="10"/>
        <v>9945</v>
      </c>
      <c r="W72" s="249"/>
      <c r="X72" s="29"/>
      <c r="Y72" s="78"/>
      <c r="Z72" s="78"/>
      <c r="AA72" s="78"/>
      <c r="AB72" s="78"/>
      <c r="AC72" s="78"/>
      <c r="AD72" s="78"/>
      <c r="AE72" s="78"/>
      <c r="AF72" s="78"/>
    </row>
    <row r="73" spans="1:155" s="20" customFormat="1" ht="50.25" customHeight="1">
      <c r="A73" s="268">
        <v>10</v>
      </c>
      <c r="B73" s="287"/>
      <c r="C73" s="287" t="s">
        <v>210</v>
      </c>
      <c r="D73" s="261" t="s">
        <v>51</v>
      </c>
      <c r="E73" s="287" t="s">
        <v>225</v>
      </c>
      <c r="F73" s="61" t="s">
        <v>226</v>
      </c>
      <c r="G73" s="301" t="s">
        <v>147</v>
      </c>
      <c r="H73" s="277" t="s">
        <v>25</v>
      </c>
      <c r="I73" s="287">
        <v>89016</v>
      </c>
      <c r="J73" s="302">
        <f t="shared" si="11"/>
        <v>1236.33</v>
      </c>
      <c r="K73" s="266">
        <v>3.8</v>
      </c>
      <c r="L73" s="267">
        <f t="shared" si="12"/>
        <v>4698</v>
      </c>
      <c r="M73" s="261"/>
      <c r="N73" s="261"/>
      <c r="O73" s="261"/>
      <c r="P73" s="261"/>
      <c r="Q73" s="267">
        <f t="shared" si="14"/>
        <v>0</v>
      </c>
      <c r="R73" s="261"/>
      <c r="S73" s="261"/>
      <c r="T73" s="267"/>
      <c r="U73" s="267">
        <f t="shared" si="9"/>
        <v>470</v>
      </c>
      <c r="V73" s="267">
        <f t="shared" si="10"/>
        <v>5168</v>
      </c>
      <c r="W73" s="249"/>
      <c r="X73" s="29"/>
      <c r="Y73" s="78"/>
      <c r="Z73" s="78"/>
      <c r="AA73" s="78"/>
      <c r="AB73" s="78"/>
      <c r="AC73" s="78"/>
      <c r="AD73" s="78"/>
      <c r="AE73" s="78"/>
      <c r="AF73" s="78"/>
    </row>
    <row r="74" spans="1:155" s="20" customFormat="1" ht="43.5" customHeight="1">
      <c r="A74" s="261">
        <v>11</v>
      </c>
      <c r="B74" s="272"/>
      <c r="C74" s="269" t="s">
        <v>110</v>
      </c>
      <c r="D74" s="261" t="s">
        <v>51</v>
      </c>
      <c r="E74" s="269" t="s">
        <v>111</v>
      </c>
      <c r="F74" s="58" t="s">
        <v>112</v>
      </c>
      <c r="G74" s="269" t="s">
        <v>169</v>
      </c>
      <c r="H74" s="271" t="s">
        <v>25</v>
      </c>
      <c r="I74" s="271">
        <v>92201</v>
      </c>
      <c r="J74" s="265">
        <f t="shared" si="11"/>
        <v>1280.57</v>
      </c>
      <c r="K74" s="261">
        <v>14.6</v>
      </c>
      <c r="L74" s="267">
        <f t="shared" si="12"/>
        <v>18696</v>
      </c>
      <c r="M74" s="261"/>
      <c r="N74" s="261"/>
      <c r="O74" s="261">
        <v>20</v>
      </c>
      <c r="P74" s="261">
        <v>14.6</v>
      </c>
      <c r="Q74" s="267">
        <f t="shared" si="14"/>
        <v>718</v>
      </c>
      <c r="R74" s="261"/>
      <c r="S74" s="261"/>
      <c r="T74" s="267"/>
      <c r="U74" s="267">
        <f t="shared" si="9"/>
        <v>1870</v>
      </c>
      <c r="V74" s="267">
        <f t="shared" si="10"/>
        <v>21284</v>
      </c>
      <c r="W74" s="249"/>
      <c r="X74" s="29"/>
      <c r="Y74" s="78"/>
      <c r="Z74" s="78"/>
      <c r="AA74" s="78"/>
      <c r="AB74" s="78"/>
      <c r="AC74" s="78"/>
      <c r="AD74" s="78"/>
      <c r="AE74" s="78"/>
      <c r="AF74" s="78"/>
    </row>
    <row r="75" spans="1:155" s="20" customFormat="1" ht="30">
      <c r="A75" s="268">
        <v>12</v>
      </c>
      <c r="B75" s="269"/>
      <c r="C75" s="270" t="s">
        <v>239</v>
      </c>
      <c r="D75" s="261" t="s">
        <v>51</v>
      </c>
      <c r="E75" s="275" t="s">
        <v>90</v>
      </c>
      <c r="F75" s="58" t="s">
        <v>91</v>
      </c>
      <c r="G75" s="269" t="s">
        <v>162</v>
      </c>
      <c r="H75" s="264" t="s">
        <v>25</v>
      </c>
      <c r="I75" s="271">
        <v>92201</v>
      </c>
      <c r="J75" s="299">
        <f t="shared" si="11"/>
        <v>1280.57</v>
      </c>
      <c r="K75" s="266">
        <f>11.6+5.4</f>
        <v>17</v>
      </c>
      <c r="L75" s="267">
        <f t="shared" si="12"/>
        <v>21770</v>
      </c>
      <c r="M75" s="261"/>
      <c r="N75" s="261"/>
      <c r="O75" s="261">
        <v>20</v>
      </c>
      <c r="P75" s="261">
        <v>11.6</v>
      </c>
      <c r="Q75" s="267">
        <f t="shared" si="14"/>
        <v>570</v>
      </c>
      <c r="R75" s="261"/>
      <c r="S75" s="261"/>
      <c r="T75" s="267"/>
      <c r="U75" s="267">
        <f t="shared" si="9"/>
        <v>2177</v>
      </c>
      <c r="V75" s="267">
        <f t="shared" si="10"/>
        <v>24517</v>
      </c>
      <c r="W75" s="249"/>
      <c r="X75" s="29"/>
      <c r="Y75" s="78"/>
      <c r="Z75" s="78"/>
      <c r="AA75" s="78"/>
      <c r="AB75" s="78"/>
      <c r="AC75" s="78"/>
      <c r="AD75" s="78"/>
      <c r="AE75" s="78"/>
      <c r="AF75" s="78"/>
    </row>
    <row r="76" spans="1:155" s="20" customFormat="1" ht="30">
      <c r="A76" s="261">
        <v>13</v>
      </c>
      <c r="B76" s="275"/>
      <c r="C76" s="269" t="s">
        <v>358</v>
      </c>
      <c r="D76" s="261" t="s">
        <v>51</v>
      </c>
      <c r="E76" s="269" t="s">
        <v>63</v>
      </c>
      <c r="F76" s="58" t="s">
        <v>64</v>
      </c>
      <c r="G76" s="269" t="s">
        <v>157</v>
      </c>
      <c r="H76" s="271" t="s">
        <v>25</v>
      </c>
      <c r="I76" s="271">
        <v>90609</v>
      </c>
      <c r="J76" s="265">
        <f t="shared" si="11"/>
        <v>1258.46</v>
      </c>
      <c r="K76" s="265">
        <f>3.6+2</f>
        <v>5.6</v>
      </c>
      <c r="L76" s="267">
        <f t="shared" si="12"/>
        <v>7047</v>
      </c>
      <c r="M76" s="261"/>
      <c r="N76" s="261"/>
      <c r="O76" s="261"/>
      <c r="P76" s="261"/>
      <c r="Q76" s="267">
        <f>17697*25%/72*P76</f>
        <v>0</v>
      </c>
      <c r="R76" s="261"/>
      <c r="S76" s="261"/>
      <c r="T76" s="267"/>
      <c r="U76" s="267">
        <f t="shared" si="9"/>
        <v>705</v>
      </c>
      <c r="V76" s="267">
        <f t="shared" si="10"/>
        <v>7752</v>
      </c>
      <c r="W76" s="249"/>
      <c r="X76" s="29"/>
      <c r="Y76" s="78"/>
      <c r="Z76" s="78"/>
      <c r="AA76" s="78"/>
      <c r="AB76" s="78"/>
      <c r="AC76" s="78"/>
      <c r="AD76" s="78"/>
      <c r="AE76" s="78"/>
      <c r="AF76" s="78"/>
    </row>
    <row r="77" spans="1:155" s="20" customFormat="1" ht="30">
      <c r="A77" s="268">
        <v>14</v>
      </c>
      <c r="B77" s="273"/>
      <c r="C77" s="269" t="s">
        <v>100</v>
      </c>
      <c r="D77" s="261" t="s">
        <v>51</v>
      </c>
      <c r="E77" s="273" t="s">
        <v>101</v>
      </c>
      <c r="F77" s="303" t="s">
        <v>102</v>
      </c>
      <c r="G77" s="273" t="s">
        <v>166</v>
      </c>
      <c r="H77" s="264" t="s">
        <v>25</v>
      </c>
      <c r="I77" s="271">
        <v>92201</v>
      </c>
      <c r="J77" s="265">
        <f t="shared" si="11"/>
        <v>1280.57</v>
      </c>
      <c r="K77" s="265">
        <v>15.2</v>
      </c>
      <c r="L77" s="267">
        <f t="shared" si="12"/>
        <v>19465</v>
      </c>
      <c r="M77" s="261"/>
      <c r="N77" s="261"/>
      <c r="O77" s="261"/>
      <c r="P77" s="261"/>
      <c r="Q77" s="267">
        <f>17697*20%/72*P77</f>
        <v>0</v>
      </c>
      <c r="R77" s="261"/>
      <c r="S77" s="261"/>
      <c r="T77" s="267"/>
      <c r="U77" s="267">
        <f t="shared" si="9"/>
        <v>1947</v>
      </c>
      <c r="V77" s="267">
        <f t="shared" si="10"/>
        <v>21412</v>
      </c>
      <c r="W77" s="249"/>
      <c r="X77" s="29"/>
      <c r="Y77" s="78"/>
      <c r="Z77" s="78"/>
      <c r="AA77" s="78"/>
      <c r="AB77" s="78"/>
      <c r="AC77" s="78"/>
      <c r="AD77" s="78"/>
      <c r="AE77" s="78"/>
      <c r="AF77" s="78"/>
    </row>
    <row r="78" spans="1:155" s="20" customFormat="1" ht="30">
      <c r="A78" s="261">
        <v>15</v>
      </c>
      <c r="B78" s="269"/>
      <c r="C78" s="269" t="s">
        <v>100</v>
      </c>
      <c r="D78" s="261" t="s">
        <v>51</v>
      </c>
      <c r="E78" s="269" t="s">
        <v>115</v>
      </c>
      <c r="F78" s="58" t="s">
        <v>116</v>
      </c>
      <c r="G78" s="269" t="s">
        <v>89</v>
      </c>
      <c r="H78" s="264" t="s">
        <v>25</v>
      </c>
      <c r="I78" s="271">
        <v>93971</v>
      </c>
      <c r="J78" s="265">
        <f t="shared" si="11"/>
        <v>1305.1500000000001</v>
      </c>
      <c r="K78" s="265">
        <v>11.6</v>
      </c>
      <c r="L78" s="267">
        <f t="shared" si="12"/>
        <v>15140</v>
      </c>
      <c r="M78" s="261"/>
      <c r="N78" s="261"/>
      <c r="O78" s="261"/>
      <c r="P78" s="261"/>
      <c r="Q78" s="267">
        <f>17697*20%/72*P78</f>
        <v>0</v>
      </c>
      <c r="R78" s="261"/>
      <c r="S78" s="261"/>
      <c r="T78" s="267"/>
      <c r="U78" s="267">
        <f t="shared" si="9"/>
        <v>1514</v>
      </c>
      <c r="V78" s="267">
        <f t="shared" si="10"/>
        <v>16654</v>
      </c>
      <c r="W78" s="249"/>
      <c r="X78" s="29"/>
      <c r="Y78" s="78"/>
      <c r="Z78" s="78"/>
      <c r="AA78" s="78"/>
      <c r="AB78" s="78"/>
      <c r="AC78" s="78"/>
      <c r="AD78" s="78"/>
      <c r="AE78" s="78"/>
      <c r="AF78" s="78"/>
    </row>
    <row r="79" spans="1:155" s="20" customFormat="1" ht="60">
      <c r="A79" s="268">
        <v>16</v>
      </c>
      <c r="B79" s="275"/>
      <c r="C79" s="270" t="s">
        <v>45</v>
      </c>
      <c r="D79" s="261" t="s">
        <v>51</v>
      </c>
      <c r="E79" s="275" t="s">
        <v>46</v>
      </c>
      <c r="F79" s="58" t="s">
        <v>47</v>
      </c>
      <c r="G79" s="269" t="s">
        <v>178</v>
      </c>
      <c r="H79" s="271" t="s">
        <v>25</v>
      </c>
      <c r="I79" s="271">
        <v>93971</v>
      </c>
      <c r="J79" s="265">
        <f t="shared" si="11"/>
        <v>1305.1500000000001</v>
      </c>
      <c r="K79" s="265">
        <v>5</v>
      </c>
      <c r="L79" s="267">
        <f t="shared" si="12"/>
        <v>6526</v>
      </c>
      <c r="M79" s="261"/>
      <c r="N79" s="261"/>
      <c r="O79" s="261"/>
      <c r="P79" s="261"/>
      <c r="Q79" s="267">
        <f>17697*20%/72*P79</f>
        <v>0</v>
      </c>
      <c r="R79" s="261"/>
      <c r="S79" s="261"/>
      <c r="T79" s="267"/>
      <c r="U79" s="267">
        <f t="shared" si="9"/>
        <v>653</v>
      </c>
      <c r="V79" s="267">
        <f t="shared" si="10"/>
        <v>7179</v>
      </c>
      <c r="W79" s="249" t="s">
        <v>250</v>
      </c>
      <c r="X79" s="29"/>
      <c r="Y79" s="78"/>
      <c r="Z79" s="78"/>
      <c r="AA79" s="78"/>
      <c r="AB79" s="78"/>
      <c r="AC79" s="78"/>
      <c r="AD79" s="78"/>
      <c r="AE79" s="78"/>
      <c r="AF79" s="78"/>
    </row>
    <row r="80" spans="1:155" s="20" customFormat="1" ht="75">
      <c r="A80" s="261">
        <v>17</v>
      </c>
      <c r="B80" s="272"/>
      <c r="C80" s="275" t="s">
        <v>355</v>
      </c>
      <c r="D80" s="261" t="s">
        <v>51</v>
      </c>
      <c r="E80" s="269" t="s">
        <v>136</v>
      </c>
      <c r="F80" s="46" t="s">
        <v>137</v>
      </c>
      <c r="G80" s="269" t="s">
        <v>176</v>
      </c>
      <c r="H80" s="271" t="s">
        <v>42</v>
      </c>
      <c r="I80" s="264">
        <v>90609</v>
      </c>
      <c r="J80" s="265">
        <f t="shared" si="11"/>
        <v>1258.46</v>
      </c>
      <c r="K80" s="302">
        <v>3.4</v>
      </c>
      <c r="L80" s="267">
        <f t="shared" si="12"/>
        <v>4279</v>
      </c>
      <c r="M80" s="304"/>
      <c r="N80" s="304"/>
      <c r="O80" s="304"/>
      <c r="P80" s="304"/>
      <c r="Q80" s="305">
        <f>17697*20%/72*P80</f>
        <v>0</v>
      </c>
      <c r="R80" s="304"/>
      <c r="S80" s="304"/>
      <c r="T80" s="305"/>
      <c r="U80" s="267">
        <f t="shared" si="9"/>
        <v>428</v>
      </c>
      <c r="V80" s="267">
        <f t="shared" si="10"/>
        <v>4707</v>
      </c>
      <c r="W80" s="249"/>
      <c r="X80" s="243"/>
      <c r="Y80" s="105"/>
      <c r="Z80" s="105"/>
      <c r="AA80" s="105"/>
      <c r="AB80" s="105"/>
      <c r="AC80" s="105"/>
      <c r="AD80" s="105"/>
      <c r="AE80" s="105"/>
      <c r="AF80" s="105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</row>
    <row r="81" spans="1:32" s="24" customFormat="1" ht="30">
      <c r="A81" s="268">
        <v>18</v>
      </c>
      <c r="B81" s="275"/>
      <c r="C81" s="275" t="s">
        <v>251</v>
      </c>
      <c r="D81" s="261" t="s">
        <v>51</v>
      </c>
      <c r="E81" s="276"/>
      <c r="F81" s="282"/>
      <c r="G81" s="276" t="s">
        <v>50</v>
      </c>
      <c r="H81" s="271" t="s">
        <v>42</v>
      </c>
      <c r="I81" s="271">
        <v>85653</v>
      </c>
      <c r="J81" s="265">
        <f t="shared" si="11"/>
        <v>1189.6300000000001</v>
      </c>
      <c r="K81" s="266">
        <v>0.6</v>
      </c>
      <c r="L81" s="267">
        <f t="shared" si="12"/>
        <v>714</v>
      </c>
      <c r="M81" s="285"/>
      <c r="N81" s="285"/>
      <c r="O81" s="285"/>
      <c r="P81" s="306"/>
      <c r="Q81" s="264">
        <f>17697*20%/72*P81</f>
        <v>0</v>
      </c>
      <c r="R81" s="285"/>
      <c r="S81" s="264"/>
      <c r="T81" s="264"/>
      <c r="U81" s="267">
        <f t="shared" si="9"/>
        <v>71</v>
      </c>
      <c r="V81" s="267">
        <f t="shared" si="10"/>
        <v>785</v>
      </c>
      <c r="W81" s="251"/>
      <c r="X81" s="246"/>
    </row>
    <row r="82" spans="1:32" s="20" customFormat="1" ht="30">
      <c r="A82" s="261">
        <v>19</v>
      </c>
      <c r="B82" s="275"/>
      <c r="C82" s="286" t="s">
        <v>268</v>
      </c>
      <c r="D82" s="261" t="s">
        <v>51</v>
      </c>
      <c r="E82" s="287"/>
      <c r="F82" s="287"/>
      <c r="G82" s="276" t="s">
        <v>50</v>
      </c>
      <c r="H82" s="271" t="s">
        <v>42</v>
      </c>
      <c r="I82" s="271">
        <v>85653</v>
      </c>
      <c r="J82" s="265">
        <f t="shared" si="11"/>
        <v>1189.6300000000001</v>
      </c>
      <c r="K82" s="304">
        <f>2.4+10</f>
        <v>12.4</v>
      </c>
      <c r="L82" s="267">
        <f t="shared" si="12"/>
        <v>14751</v>
      </c>
      <c r="M82" s="304"/>
      <c r="N82" s="304"/>
      <c r="O82" s="304"/>
      <c r="P82" s="304"/>
      <c r="Q82" s="305"/>
      <c r="R82" s="304"/>
      <c r="S82" s="304"/>
      <c r="T82" s="305"/>
      <c r="U82" s="267">
        <f t="shared" si="9"/>
        <v>1475</v>
      </c>
      <c r="V82" s="267">
        <f t="shared" si="10"/>
        <v>16226</v>
      </c>
      <c r="W82" s="249"/>
      <c r="X82" s="29"/>
      <c r="Y82" s="78"/>
      <c r="Z82" s="78"/>
      <c r="AA82" s="78"/>
      <c r="AB82" s="78"/>
      <c r="AC82" s="78"/>
      <c r="AD82" s="78"/>
      <c r="AE82" s="78"/>
      <c r="AF82" s="78"/>
    </row>
    <row r="83" spans="1:32" s="20" customFormat="1" ht="26.25" customHeight="1">
      <c r="A83" s="261"/>
      <c r="B83" s="261" t="s">
        <v>8</v>
      </c>
      <c r="C83" s="261"/>
      <c r="D83" s="261"/>
      <c r="E83" s="261"/>
      <c r="F83" s="261"/>
      <c r="G83" s="261"/>
      <c r="H83" s="261"/>
      <c r="I83" s="261"/>
      <c r="J83" s="265"/>
      <c r="K83" s="265">
        <f>SUM(K64:K82)</f>
        <v>198.6</v>
      </c>
      <c r="L83" s="265">
        <f t="shared" ref="L83:V83" si="15">SUM(L64:L82)</f>
        <v>250476</v>
      </c>
      <c r="M83" s="265">
        <f t="shared" si="15"/>
        <v>4424</v>
      </c>
      <c r="N83" s="265">
        <f t="shared" si="15"/>
        <v>0</v>
      </c>
      <c r="O83" s="265"/>
      <c r="P83" s="265">
        <f t="shared" si="15"/>
        <v>82.2</v>
      </c>
      <c r="Q83" s="265">
        <f t="shared" si="15"/>
        <v>4361</v>
      </c>
      <c r="R83" s="265">
        <f t="shared" si="15"/>
        <v>0</v>
      </c>
      <c r="S83" s="265">
        <f t="shared" si="15"/>
        <v>0</v>
      </c>
      <c r="T83" s="265">
        <f t="shared" si="15"/>
        <v>0</v>
      </c>
      <c r="U83" s="265">
        <f t="shared" si="15"/>
        <v>25051</v>
      </c>
      <c r="V83" s="265">
        <f t="shared" si="15"/>
        <v>284312</v>
      </c>
      <c r="W83" s="249"/>
      <c r="X83" s="29"/>
      <c r="Y83" s="78"/>
      <c r="Z83" s="78"/>
      <c r="AA83" s="78"/>
      <c r="AB83" s="78"/>
      <c r="AC83" s="78"/>
      <c r="AD83" s="78"/>
      <c r="AE83" s="78"/>
      <c r="AF83" s="78"/>
    </row>
    <row r="84" spans="1:32" s="20" customFormat="1" ht="15.75">
      <c r="A84" s="296"/>
      <c r="B84" s="296"/>
      <c r="C84" s="296"/>
      <c r="D84" s="296"/>
      <c r="E84" s="296"/>
      <c r="F84" s="296"/>
      <c r="G84" s="296"/>
      <c r="H84" s="296"/>
      <c r="I84" s="296"/>
      <c r="J84" s="296"/>
      <c r="K84" s="298"/>
      <c r="L84" s="296"/>
      <c r="M84" s="296"/>
      <c r="N84" s="290" t="s">
        <v>213</v>
      </c>
      <c r="O84" s="290"/>
      <c r="P84" s="290"/>
      <c r="Q84" s="290"/>
      <c r="R84" s="291"/>
      <c r="S84" s="291"/>
      <c r="T84" s="296"/>
      <c r="U84" s="296"/>
      <c r="V84" s="296"/>
      <c r="W84" s="249"/>
      <c r="X84" s="29"/>
      <c r="Y84" s="78"/>
      <c r="Z84" s="78"/>
      <c r="AA84" s="78"/>
      <c r="AB84" s="78"/>
      <c r="AC84" s="78"/>
      <c r="AD84" s="78"/>
      <c r="AE84" s="78"/>
      <c r="AF84" s="78"/>
    </row>
    <row r="85" spans="1:32" s="20" customFormat="1" ht="15.75">
      <c r="A85" s="295" t="s">
        <v>0</v>
      </c>
      <c r="B85" s="295"/>
      <c r="C85" s="295"/>
      <c r="D85" s="295"/>
      <c r="E85" s="296"/>
      <c r="F85" s="296"/>
      <c r="G85" s="296"/>
      <c r="H85" s="296"/>
      <c r="I85" s="296"/>
      <c r="J85" s="296"/>
      <c r="K85" s="296"/>
      <c r="L85" s="296"/>
      <c r="M85" s="296"/>
      <c r="N85" s="257" t="s">
        <v>1</v>
      </c>
      <c r="O85" s="257"/>
      <c r="P85" s="257"/>
      <c r="Q85" s="257"/>
      <c r="R85" s="257"/>
      <c r="S85" s="257"/>
      <c r="T85" s="257"/>
      <c r="U85" s="258"/>
      <c r="V85" s="258"/>
      <c r="W85" s="249"/>
      <c r="X85" s="29"/>
      <c r="Y85" s="78"/>
      <c r="Z85" s="78"/>
      <c r="AA85" s="78"/>
      <c r="AB85" s="78"/>
      <c r="AC85" s="78"/>
      <c r="AD85" s="78"/>
      <c r="AE85" s="78"/>
      <c r="AF85" s="78"/>
    </row>
    <row r="86" spans="1:32" s="22" customFormat="1" ht="15.75">
      <c r="A86" s="295" t="s">
        <v>2</v>
      </c>
      <c r="B86" s="295"/>
      <c r="C86" s="295"/>
      <c r="D86" s="295"/>
      <c r="E86" s="296"/>
      <c r="F86" s="296"/>
      <c r="G86" s="296"/>
      <c r="H86" s="296"/>
      <c r="I86" s="296"/>
      <c r="J86" s="296"/>
      <c r="K86" s="296"/>
      <c r="L86" s="296"/>
      <c r="M86" s="296"/>
      <c r="N86" s="257" t="s">
        <v>3</v>
      </c>
      <c r="O86" s="257"/>
      <c r="P86" s="257"/>
      <c r="Q86" s="257"/>
      <c r="R86" s="257"/>
      <c r="S86" s="257"/>
      <c r="T86" s="257"/>
      <c r="U86" s="258"/>
      <c r="V86" s="258"/>
      <c r="W86" s="252"/>
      <c r="X86" s="243"/>
      <c r="Y86" s="105"/>
      <c r="Z86" s="105"/>
      <c r="AA86" s="105"/>
      <c r="AB86" s="105"/>
      <c r="AC86" s="105"/>
      <c r="AD86" s="105"/>
      <c r="AE86" s="105"/>
      <c r="AF86" s="105"/>
    </row>
    <row r="87" spans="1:32" s="22" customFormat="1" ht="15.75">
      <c r="A87" s="295"/>
      <c r="B87" s="295"/>
      <c r="C87" s="295"/>
      <c r="D87" s="295"/>
      <c r="E87" s="296"/>
      <c r="F87" s="296"/>
      <c r="G87" s="296"/>
      <c r="H87" s="296"/>
      <c r="I87" s="296"/>
      <c r="J87" s="296"/>
      <c r="K87" s="296"/>
      <c r="L87" s="296"/>
      <c r="M87" s="296"/>
      <c r="N87" s="256" t="s">
        <v>4</v>
      </c>
      <c r="O87" s="256"/>
      <c r="P87" s="256"/>
      <c r="Q87" s="256"/>
      <c r="R87" s="256"/>
      <c r="S87" s="256"/>
      <c r="T87" s="256"/>
      <c r="U87" s="258"/>
      <c r="V87" s="258"/>
      <c r="W87" s="252"/>
      <c r="X87" s="243"/>
      <c r="Y87" s="105"/>
      <c r="Z87" s="105"/>
      <c r="AA87" s="105"/>
      <c r="AB87" s="105"/>
      <c r="AC87" s="105"/>
      <c r="AD87" s="105"/>
      <c r="AE87" s="105"/>
      <c r="AF87" s="105"/>
    </row>
    <row r="88" spans="1:32" s="22" customFormat="1" ht="15.75">
      <c r="A88" s="295" t="s">
        <v>5</v>
      </c>
      <c r="B88" s="295"/>
      <c r="C88" s="295" t="s">
        <v>6</v>
      </c>
      <c r="D88" s="295"/>
      <c r="E88" s="445" t="s">
        <v>183</v>
      </c>
      <c r="F88" s="445"/>
      <c r="G88" s="445"/>
      <c r="H88" s="445"/>
      <c r="I88" s="445"/>
      <c r="J88" s="445"/>
      <c r="K88" s="445"/>
      <c r="L88" s="445"/>
      <c r="M88" s="258"/>
      <c r="N88" s="257" t="s">
        <v>139</v>
      </c>
      <c r="O88" s="257"/>
      <c r="P88" s="257"/>
      <c r="Q88" s="257"/>
      <c r="R88" s="257"/>
      <c r="S88" s="257"/>
      <c r="T88" s="257"/>
      <c r="U88" s="258"/>
      <c r="V88" s="258"/>
      <c r="W88" s="252"/>
      <c r="X88" s="243"/>
      <c r="Y88" s="105"/>
      <c r="Z88" s="105"/>
      <c r="AA88" s="105"/>
      <c r="AB88" s="105"/>
      <c r="AC88" s="105"/>
      <c r="AD88" s="105"/>
      <c r="AE88" s="105"/>
      <c r="AF88" s="105"/>
    </row>
    <row r="89" spans="1:32" s="22" customFormat="1" ht="15.75">
      <c r="A89" s="295"/>
      <c r="B89" s="295"/>
      <c r="C89" s="295"/>
      <c r="D89" s="295"/>
      <c r="E89" s="446" t="s">
        <v>184</v>
      </c>
      <c r="F89" s="446"/>
      <c r="G89" s="446"/>
      <c r="H89" s="446"/>
      <c r="I89" s="446"/>
      <c r="J89" s="446"/>
      <c r="K89" s="446"/>
      <c r="L89" s="446"/>
      <c r="M89" s="446"/>
      <c r="N89" s="296"/>
      <c r="O89" s="296"/>
      <c r="P89" s="296"/>
      <c r="Q89" s="296"/>
      <c r="R89" s="296"/>
      <c r="S89" s="296"/>
      <c r="T89" s="296"/>
      <c r="U89" s="296"/>
      <c r="V89" s="296"/>
      <c r="W89" s="252"/>
      <c r="X89" s="243"/>
      <c r="Y89" s="105"/>
      <c r="Z89" s="105"/>
      <c r="AA89" s="105"/>
      <c r="AB89" s="105"/>
      <c r="AC89" s="105"/>
      <c r="AD89" s="105"/>
      <c r="AE89" s="105"/>
      <c r="AF89" s="105"/>
    </row>
    <row r="90" spans="1:32" s="22" customFormat="1" ht="15.75">
      <c r="A90" s="296"/>
      <c r="B90" s="296"/>
      <c r="C90" s="296"/>
      <c r="D90" s="296"/>
      <c r="E90" s="447" t="s">
        <v>219</v>
      </c>
      <c r="F90" s="447"/>
      <c r="G90" s="447"/>
      <c r="H90" s="447"/>
      <c r="I90" s="447"/>
      <c r="J90" s="447"/>
      <c r="K90" s="447"/>
      <c r="L90" s="447"/>
      <c r="M90" s="447"/>
      <c r="N90" s="296"/>
      <c r="O90" s="296"/>
      <c r="P90" s="296"/>
      <c r="Q90" s="296"/>
      <c r="R90" s="296"/>
      <c r="S90" s="296"/>
      <c r="T90" s="296"/>
      <c r="U90" s="296"/>
      <c r="V90" s="296"/>
      <c r="W90" s="252"/>
      <c r="X90" s="243"/>
      <c r="Y90" s="105"/>
      <c r="Z90" s="105"/>
      <c r="AA90" s="105"/>
      <c r="AB90" s="105"/>
      <c r="AC90" s="105"/>
      <c r="AD90" s="105"/>
      <c r="AE90" s="105"/>
      <c r="AF90" s="105"/>
    </row>
    <row r="91" spans="1:32" s="22" customFormat="1" ht="15.75">
      <c r="A91" s="296"/>
      <c r="B91" s="296"/>
      <c r="C91" s="296"/>
      <c r="D91" s="296"/>
      <c r="E91" s="447" t="s">
        <v>7</v>
      </c>
      <c r="F91" s="447"/>
      <c r="G91" s="447"/>
      <c r="H91" s="447"/>
      <c r="I91" s="447"/>
      <c r="J91" s="447"/>
      <c r="K91" s="447"/>
      <c r="L91" s="447"/>
      <c r="M91" s="447"/>
      <c r="N91" s="296"/>
      <c r="O91" s="296"/>
      <c r="P91" s="296"/>
      <c r="Q91" s="296"/>
      <c r="R91" s="296"/>
      <c r="S91" s="296"/>
      <c r="T91" s="296"/>
      <c r="U91" s="296"/>
      <c r="V91" s="296"/>
      <c r="W91" s="252"/>
      <c r="X91" s="243"/>
      <c r="Y91" s="105"/>
      <c r="Z91" s="105"/>
      <c r="AA91" s="105"/>
      <c r="AB91" s="105"/>
      <c r="AC91" s="105"/>
      <c r="AD91" s="105"/>
      <c r="AE91" s="105"/>
      <c r="AF91" s="105"/>
    </row>
    <row r="92" spans="1:32" s="22" customFormat="1" ht="15.75">
      <c r="A92" s="296"/>
      <c r="B92" s="296"/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 t="s">
        <v>185</v>
      </c>
      <c r="R92" s="296"/>
      <c r="S92" s="296"/>
      <c r="T92" s="296"/>
      <c r="U92" s="296"/>
      <c r="V92" s="296"/>
      <c r="W92" s="252"/>
      <c r="X92" s="243"/>
      <c r="Y92" s="105"/>
      <c r="Z92" s="105"/>
      <c r="AA92" s="105"/>
      <c r="AB92" s="105"/>
      <c r="AC92" s="105"/>
      <c r="AD92" s="105"/>
      <c r="AE92" s="105"/>
      <c r="AF92" s="105"/>
    </row>
    <row r="93" spans="1:32" s="22" customFormat="1" ht="15.75">
      <c r="A93" s="296"/>
      <c r="B93" s="296"/>
      <c r="C93" s="296"/>
      <c r="D93" s="296"/>
      <c r="E93" s="296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 t="s">
        <v>265</v>
      </c>
      <c r="R93" s="296"/>
      <c r="S93" s="296"/>
      <c r="T93" s="296"/>
      <c r="U93" s="296"/>
      <c r="V93" s="296"/>
      <c r="W93" s="252"/>
      <c r="X93" s="243"/>
      <c r="Y93" s="105"/>
      <c r="Z93" s="105"/>
      <c r="AA93" s="105"/>
      <c r="AB93" s="105"/>
      <c r="AC93" s="105"/>
      <c r="AD93" s="105"/>
      <c r="AE93" s="105"/>
      <c r="AF93" s="105"/>
    </row>
    <row r="94" spans="1:32" s="22" customFormat="1" ht="15.75">
      <c r="A94" s="296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 t="s">
        <v>186</v>
      </c>
      <c r="R94" s="296"/>
      <c r="S94" s="296"/>
      <c r="T94" s="296" t="s">
        <v>244</v>
      </c>
      <c r="U94" s="296"/>
      <c r="V94" s="296"/>
      <c r="W94" s="252"/>
      <c r="X94" s="243"/>
      <c r="Y94" s="105"/>
      <c r="Z94" s="105"/>
      <c r="AA94" s="105"/>
      <c r="AB94" s="105"/>
      <c r="AC94" s="105"/>
      <c r="AD94" s="105"/>
      <c r="AE94" s="105"/>
      <c r="AF94" s="105"/>
    </row>
    <row r="95" spans="1:32" s="22" customFormat="1" ht="15.75">
      <c r="A95" s="296"/>
      <c r="B95" s="296"/>
      <c r="C95" s="296"/>
      <c r="D95" s="296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  <c r="Q95" s="296" t="s">
        <v>188</v>
      </c>
      <c r="R95" s="296"/>
      <c r="S95" s="296"/>
      <c r="T95" s="296">
        <v>1</v>
      </c>
      <c r="U95" s="296"/>
      <c r="V95" s="296"/>
      <c r="W95" s="252"/>
      <c r="X95" s="243"/>
      <c r="Y95" s="105"/>
      <c r="Z95" s="105"/>
      <c r="AA95" s="105"/>
      <c r="AB95" s="105"/>
      <c r="AC95" s="105"/>
      <c r="AD95" s="105"/>
      <c r="AE95" s="105"/>
      <c r="AF95" s="105"/>
    </row>
    <row r="96" spans="1:32" s="22" customFormat="1" ht="15.75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 t="s">
        <v>189</v>
      </c>
      <c r="R96" s="296"/>
      <c r="S96" s="296"/>
      <c r="T96" s="296">
        <v>24</v>
      </c>
      <c r="U96" s="296" t="s">
        <v>190</v>
      </c>
      <c r="V96" s="296"/>
      <c r="W96" s="252"/>
      <c r="X96" s="243"/>
      <c r="Y96" s="105"/>
      <c r="Z96" s="105"/>
      <c r="AA96" s="105"/>
      <c r="AB96" s="105"/>
      <c r="AC96" s="105"/>
      <c r="AD96" s="105"/>
      <c r="AE96" s="105"/>
      <c r="AF96" s="105"/>
    </row>
    <row r="97" spans="1:32" s="22" customFormat="1" ht="15.75">
      <c r="A97" s="296"/>
      <c r="B97" s="296"/>
      <c r="C97" s="296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 t="s">
        <v>191</v>
      </c>
      <c r="R97" s="296"/>
      <c r="S97" s="296"/>
      <c r="T97" s="296">
        <v>0</v>
      </c>
      <c r="U97" s="298">
        <f>T97*100/T96</f>
        <v>0</v>
      </c>
      <c r="V97" s="296" t="s">
        <v>17</v>
      </c>
      <c r="W97" s="252"/>
      <c r="X97" s="243"/>
      <c r="Y97" s="105"/>
      <c r="Z97" s="105"/>
      <c r="AA97" s="105"/>
      <c r="AB97" s="105"/>
      <c r="AC97" s="105"/>
      <c r="AD97" s="105"/>
      <c r="AE97" s="105"/>
      <c r="AF97" s="105"/>
    </row>
    <row r="98" spans="1:32" s="22" customFormat="1" ht="15.75">
      <c r="A98" s="296"/>
      <c r="B98" s="296"/>
      <c r="C98" s="296"/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 t="s">
        <v>192</v>
      </c>
      <c r="R98" s="296"/>
      <c r="S98" s="296"/>
      <c r="T98" s="296">
        <v>24</v>
      </c>
      <c r="U98" s="298">
        <f>T98*100/T96</f>
        <v>100</v>
      </c>
      <c r="V98" s="296" t="s">
        <v>17</v>
      </c>
      <c r="W98" s="252"/>
      <c r="X98" s="243"/>
      <c r="Y98" s="105"/>
      <c r="Z98" s="105"/>
      <c r="AA98" s="105"/>
      <c r="AB98" s="105"/>
      <c r="AC98" s="105"/>
      <c r="AD98" s="105"/>
      <c r="AE98" s="105"/>
      <c r="AF98" s="105"/>
    </row>
    <row r="99" spans="1:32" s="22" customFormat="1" ht="15.75">
      <c r="A99" s="296"/>
      <c r="B99" s="296"/>
      <c r="C99" s="296"/>
      <c r="D99" s="296"/>
      <c r="E99" s="296"/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  <c r="Q99" s="296" t="s">
        <v>193</v>
      </c>
      <c r="R99" s="296"/>
      <c r="S99" s="296"/>
      <c r="T99" s="296">
        <f>K123</f>
        <v>203.4</v>
      </c>
      <c r="U99" s="296"/>
      <c r="V99" s="296"/>
      <c r="W99" s="252"/>
      <c r="X99" s="243"/>
      <c r="Y99" s="105"/>
      <c r="Z99" s="105"/>
      <c r="AA99" s="105"/>
      <c r="AB99" s="105"/>
      <c r="AC99" s="105"/>
      <c r="AD99" s="105"/>
      <c r="AE99" s="105"/>
      <c r="AF99" s="105"/>
    </row>
    <row r="100" spans="1:32" s="22" customFormat="1" ht="15.75">
      <c r="A100" s="296"/>
      <c r="B100" s="296" t="s">
        <v>269</v>
      </c>
      <c r="C100" s="296" t="s">
        <v>246</v>
      </c>
      <c r="D100" s="296"/>
      <c r="E100" s="296"/>
      <c r="F100" s="296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52"/>
      <c r="X100" s="243"/>
      <c r="Y100" s="105"/>
      <c r="Z100" s="105"/>
      <c r="AA100" s="105"/>
      <c r="AB100" s="105"/>
      <c r="AC100" s="105"/>
      <c r="AD100" s="105"/>
      <c r="AE100" s="105"/>
      <c r="AF100" s="105"/>
    </row>
    <row r="101" spans="1:32" s="22" customFormat="1" ht="16.5" customHeight="1">
      <c r="A101" s="438" t="s">
        <v>195</v>
      </c>
      <c r="B101" s="438" t="s">
        <v>196</v>
      </c>
      <c r="C101" s="438" t="s">
        <v>197</v>
      </c>
      <c r="D101" s="438" t="s">
        <v>198</v>
      </c>
      <c r="E101" s="438" t="s">
        <v>10</v>
      </c>
      <c r="F101" s="438" t="s">
        <v>199</v>
      </c>
      <c r="G101" s="438" t="s">
        <v>200</v>
      </c>
      <c r="H101" s="438" t="s">
        <v>201</v>
      </c>
      <c r="I101" s="442" t="s">
        <v>202</v>
      </c>
      <c r="J101" s="438" t="s">
        <v>11</v>
      </c>
      <c r="K101" s="438" t="s">
        <v>203</v>
      </c>
      <c r="L101" s="438" t="s">
        <v>12</v>
      </c>
      <c r="M101" s="441" t="s">
        <v>204</v>
      </c>
      <c r="N101" s="441"/>
      <c r="O101" s="441"/>
      <c r="P101" s="441"/>
      <c r="Q101" s="441"/>
      <c r="R101" s="441"/>
      <c r="S101" s="441"/>
      <c r="T101" s="441"/>
      <c r="U101" s="438" t="s">
        <v>205</v>
      </c>
      <c r="V101" s="438" t="s">
        <v>206</v>
      </c>
      <c r="W101" s="252"/>
      <c r="X101" s="243"/>
      <c r="Y101" s="105"/>
      <c r="Z101" s="105"/>
      <c r="AA101" s="105"/>
      <c r="AB101" s="105"/>
      <c r="AC101" s="105"/>
      <c r="AD101" s="105"/>
      <c r="AE101" s="105"/>
      <c r="AF101" s="105"/>
    </row>
    <row r="102" spans="1:32" s="25" customFormat="1" ht="15.75">
      <c r="A102" s="439"/>
      <c r="B102" s="439"/>
      <c r="C102" s="439"/>
      <c r="D102" s="439"/>
      <c r="E102" s="439"/>
      <c r="F102" s="439"/>
      <c r="G102" s="439"/>
      <c r="H102" s="439"/>
      <c r="I102" s="443"/>
      <c r="J102" s="439"/>
      <c r="K102" s="439"/>
      <c r="L102" s="439"/>
      <c r="M102" s="438" t="s">
        <v>207</v>
      </c>
      <c r="N102" s="438" t="s">
        <v>15</v>
      </c>
      <c r="O102" s="441" t="s">
        <v>16</v>
      </c>
      <c r="P102" s="441"/>
      <c r="Q102" s="441"/>
      <c r="R102" s="438" t="s">
        <v>215</v>
      </c>
      <c r="S102" s="438"/>
      <c r="T102" s="438"/>
      <c r="U102" s="439"/>
      <c r="V102" s="439"/>
      <c r="W102" s="252"/>
      <c r="X102" s="243"/>
      <c r="Y102" s="105"/>
      <c r="Z102" s="105"/>
      <c r="AA102" s="105"/>
      <c r="AB102" s="105"/>
      <c r="AC102" s="105"/>
      <c r="AD102" s="105"/>
      <c r="AE102" s="105"/>
      <c r="AF102" s="105"/>
    </row>
    <row r="103" spans="1:32" s="25" customFormat="1" ht="30">
      <c r="A103" s="440"/>
      <c r="B103" s="440"/>
      <c r="C103" s="440"/>
      <c r="D103" s="440"/>
      <c r="E103" s="440"/>
      <c r="F103" s="440"/>
      <c r="G103" s="440"/>
      <c r="H103" s="440"/>
      <c r="I103" s="444"/>
      <c r="J103" s="440"/>
      <c r="K103" s="440"/>
      <c r="L103" s="440"/>
      <c r="M103" s="440"/>
      <c r="N103" s="440"/>
      <c r="O103" s="261" t="s">
        <v>17</v>
      </c>
      <c r="P103" s="261" t="s">
        <v>18</v>
      </c>
      <c r="Q103" s="261" t="s">
        <v>19</v>
      </c>
      <c r="R103" s="440"/>
      <c r="S103" s="440"/>
      <c r="T103" s="440"/>
      <c r="U103" s="440"/>
      <c r="V103" s="440"/>
      <c r="W103" s="252"/>
      <c r="X103" s="243"/>
      <c r="Y103" s="105"/>
      <c r="Z103" s="105"/>
      <c r="AA103" s="105"/>
      <c r="AB103" s="105"/>
      <c r="AC103" s="105"/>
      <c r="AD103" s="105"/>
      <c r="AE103" s="105"/>
      <c r="AF103" s="105"/>
    </row>
    <row r="104" spans="1:32" s="25" customFormat="1" ht="62.25" customHeight="1">
      <c r="A104" s="261">
        <v>1</v>
      </c>
      <c r="B104" s="268"/>
      <c r="C104" s="277" t="s">
        <v>521</v>
      </c>
      <c r="D104" s="261" t="s">
        <v>51</v>
      </c>
      <c r="E104" s="268" t="s">
        <v>52</v>
      </c>
      <c r="F104" s="268" t="s">
        <v>53</v>
      </c>
      <c r="G104" s="307" t="s">
        <v>148</v>
      </c>
      <c r="H104" s="271" t="s">
        <v>25</v>
      </c>
      <c r="I104" s="264">
        <v>92201</v>
      </c>
      <c r="J104" s="265">
        <f>I104/72</f>
        <v>1280.57</v>
      </c>
      <c r="K104" s="266">
        <v>17</v>
      </c>
      <c r="L104" s="267">
        <f>J104*K104</f>
        <v>21770</v>
      </c>
      <c r="M104" s="261">
        <v>4424</v>
      </c>
      <c r="N104" s="261"/>
      <c r="O104" s="261">
        <v>25</v>
      </c>
      <c r="P104" s="261">
        <v>10.199999999999999</v>
      </c>
      <c r="Q104" s="267">
        <f>17697*25%/72*P104</f>
        <v>627</v>
      </c>
      <c r="R104" s="267"/>
      <c r="S104" s="267"/>
      <c r="T104" s="267"/>
      <c r="U104" s="267">
        <f t="shared" ref="U104:U122" si="16">L104*10%</f>
        <v>2177</v>
      </c>
      <c r="V104" s="267">
        <f t="shared" ref="V104:V122" si="17">M104+N104+Q104+R104+T104+U104+S104+L104</f>
        <v>28998</v>
      </c>
      <c r="W104" s="252"/>
      <c r="X104" s="243"/>
      <c r="Y104" s="105"/>
      <c r="Z104" s="105"/>
      <c r="AA104" s="105"/>
      <c r="AB104" s="105"/>
      <c r="AC104" s="105"/>
      <c r="AD104" s="105"/>
      <c r="AE104" s="105"/>
      <c r="AF104" s="105"/>
    </row>
    <row r="105" spans="1:32" s="22" customFormat="1" ht="60">
      <c r="A105" s="268">
        <v>2</v>
      </c>
      <c r="B105" s="269"/>
      <c r="C105" s="274" t="s">
        <v>291</v>
      </c>
      <c r="D105" s="261" t="s">
        <v>51</v>
      </c>
      <c r="E105" s="269" t="s">
        <v>94</v>
      </c>
      <c r="F105" s="269" t="s">
        <v>95</v>
      </c>
      <c r="G105" s="271" t="s">
        <v>164</v>
      </c>
      <c r="H105" s="271" t="s">
        <v>25</v>
      </c>
      <c r="I105" s="271">
        <v>93971</v>
      </c>
      <c r="J105" s="265">
        <f t="shared" ref="J105:J122" si="18">I105/72</f>
        <v>1305.1500000000001</v>
      </c>
      <c r="K105" s="265">
        <f>17+3.8</f>
        <v>20.8</v>
      </c>
      <c r="L105" s="267">
        <f t="shared" ref="L105:L122" si="19">J105*K105</f>
        <v>27147</v>
      </c>
      <c r="M105" s="261"/>
      <c r="N105" s="261"/>
      <c r="O105" s="261">
        <v>25</v>
      </c>
      <c r="P105" s="261">
        <v>10.199999999999999</v>
      </c>
      <c r="Q105" s="267">
        <f t="shared" ref="Q105:Q106" si="20">17697*25%/72*P105</f>
        <v>627</v>
      </c>
      <c r="R105" s="261"/>
      <c r="S105" s="261"/>
      <c r="T105" s="267"/>
      <c r="U105" s="267">
        <f t="shared" si="16"/>
        <v>2715</v>
      </c>
      <c r="V105" s="267">
        <f t="shared" si="17"/>
        <v>30489</v>
      </c>
      <c r="W105" s="252"/>
      <c r="X105" s="243"/>
      <c r="Y105" s="105"/>
      <c r="Z105" s="105"/>
      <c r="AA105" s="105"/>
      <c r="AB105" s="105"/>
      <c r="AC105" s="105"/>
      <c r="AD105" s="105"/>
      <c r="AE105" s="105"/>
      <c r="AF105" s="105"/>
    </row>
    <row r="106" spans="1:32" s="22" customFormat="1" ht="105">
      <c r="A106" s="261">
        <v>3</v>
      </c>
      <c r="B106" s="269"/>
      <c r="C106" s="270" t="s">
        <v>60</v>
      </c>
      <c r="D106" s="261" t="s">
        <v>51</v>
      </c>
      <c r="E106" s="272" t="s">
        <v>61</v>
      </c>
      <c r="F106" s="269" t="s">
        <v>62</v>
      </c>
      <c r="G106" s="271" t="s">
        <v>156</v>
      </c>
      <c r="H106" s="264" t="s">
        <v>25</v>
      </c>
      <c r="I106" s="271">
        <v>89016</v>
      </c>
      <c r="J106" s="265">
        <f t="shared" si="18"/>
        <v>1236.33</v>
      </c>
      <c r="K106" s="265">
        <v>14</v>
      </c>
      <c r="L106" s="267">
        <f t="shared" si="19"/>
        <v>17309</v>
      </c>
      <c r="M106" s="261"/>
      <c r="N106" s="261"/>
      <c r="O106" s="261">
        <v>25</v>
      </c>
      <c r="P106" s="261">
        <v>5.6</v>
      </c>
      <c r="Q106" s="267">
        <f t="shared" si="20"/>
        <v>344</v>
      </c>
      <c r="R106" s="261"/>
      <c r="S106" s="261"/>
      <c r="T106" s="267"/>
      <c r="U106" s="267">
        <f t="shared" si="16"/>
        <v>1731</v>
      </c>
      <c r="V106" s="267">
        <f t="shared" si="17"/>
        <v>19384</v>
      </c>
      <c r="W106" s="252"/>
      <c r="X106" s="243"/>
      <c r="Y106" s="105"/>
      <c r="Z106" s="105"/>
      <c r="AA106" s="105"/>
      <c r="AB106" s="105"/>
      <c r="AC106" s="105"/>
      <c r="AD106" s="105"/>
      <c r="AE106" s="105"/>
      <c r="AF106" s="105"/>
    </row>
    <row r="107" spans="1:32" s="22" customFormat="1" ht="45">
      <c r="A107" s="268">
        <v>4</v>
      </c>
      <c r="B107" s="275"/>
      <c r="C107" s="276" t="s">
        <v>77</v>
      </c>
      <c r="D107" s="261" t="s">
        <v>51</v>
      </c>
      <c r="E107" s="275" t="s">
        <v>228</v>
      </c>
      <c r="F107" s="275" t="s">
        <v>229</v>
      </c>
      <c r="G107" s="276" t="s">
        <v>227</v>
      </c>
      <c r="H107" s="276" t="s">
        <v>25</v>
      </c>
      <c r="I107" s="276">
        <v>85653</v>
      </c>
      <c r="J107" s="265">
        <f t="shared" si="18"/>
        <v>1189.6300000000001</v>
      </c>
      <c r="K107" s="265">
        <v>7.2</v>
      </c>
      <c r="L107" s="267">
        <f t="shared" si="19"/>
        <v>8565</v>
      </c>
      <c r="M107" s="261"/>
      <c r="N107" s="261"/>
      <c r="O107" s="261">
        <v>20</v>
      </c>
      <c r="P107" s="261">
        <v>7.2</v>
      </c>
      <c r="Q107" s="267">
        <f>17697*20%/72*P107</f>
        <v>354</v>
      </c>
      <c r="R107" s="261"/>
      <c r="S107" s="261"/>
      <c r="T107" s="267"/>
      <c r="U107" s="267">
        <f t="shared" si="16"/>
        <v>857</v>
      </c>
      <c r="V107" s="267">
        <f t="shared" si="17"/>
        <v>9776</v>
      </c>
      <c r="W107" s="252"/>
      <c r="X107" s="243"/>
      <c r="Y107" s="105"/>
      <c r="Z107" s="105"/>
      <c r="AA107" s="105"/>
      <c r="AB107" s="105"/>
      <c r="AC107" s="105"/>
      <c r="AD107" s="105"/>
      <c r="AE107" s="105"/>
      <c r="AF107" s="105"/>
    </row>
    <row r="108" spans="1:32" s="22" customFormat="1" ht="57.75" customHeight="1">
      <c r="A108" s="261">
        <v>5</v>
      </c>
      <c r="B108" s="275"/>
      <c r="C108" s="275" t="s">
        <v>77</v>
      </c>
      <c r="D108" s="261" t="s">
        <v>51</v>
      </c>
      <c r="E108" s="275" t="s">
        <v>78</v>
      </c>
      <c r="F108" s="275" t="s">
        <v>79</v>
      </c>
      <c r="G108" s="269" t="s">
        <v>155</v>
      </c>
      <c r="H108" s="271" t="s">
        <v>25</v>
      </c>
      <c r="I108" s="271">
        <v>87246</v>
      </c>
      <c r="J108" s="265">
        <f t="shared" si="18"/>
        <v>1211.75</v>
      </c>
      <c r="K108" s="265">
        <v>7.2</v>
      </c>
      <c r="L108" s="267">
        <f t="shared" si="19"/>
        <v>8725</v>
      </c>
      <c r="M108" s="261"/>
      <c r="N108" s="261"/>
      <c r="O108" s="261">
        <v>20</v>
      </c>
      <c r="P108" s="261">
        <v>7.2</v>
      </c>
      <c r="Q108" s="267">
        <f>17697*20%/72*P108</f>
        <v>354</v>
      </c>
      <c r="R108" s="261"/>
      <c r="S108" s="261"/>
      <c r="T108" s="267"/>
      <c r="U108" s="267">
        <f t="shared" si="16"/>
        <v>873</v>
      </c>
      <c r="V108" s="267">
        <f t="shared" si="17"/>
        <v>9952</v>
      </c>
      <c r="W108" s="252"/>
      <c r="X108" s="243"/>
      <c r="Y108" s="105"/>
      <c r="Z108" s="105"/>
      <c r="AA108" s="105"/>
      <c r="AB108" s="105"/>
      <c r="AC108" s="105"/>
      <c r="AD108" s="105"/>
      <c r="AE108" s="105"/>
      <c r="AF108" s="105"/>
    </row>
    <row r="109" spans="1:32" s="22" customFormat="1" ht="30">
      <c r="A109" s="268">
        <v>6</v>
      </c>
      <c r="B109" s="263"/>
      <c r="C109" s="274" t="s">
        <v>212</v>
      </c>
      <c r="D109" s="261" t="s">
        <v>51</v>
      </c>
      <c r="E109" s="263" t="s">
        <v>68</v>
      </c>
      <c r="F109" s="263" t="s">
        <v>69</v>
      </c>
      <c r="G109" s="263" t="s">
        <v>151</v>
      </c>
      <c r="H109" s="264" t="s">
        <v>25</v>
      </c>
      <c r="I109" s="264">
        <v>93971</v>
      </c>
      <c r="J109" s="265">
        <f t="shared" si="18"/>
        <v>1305.1500000000001</v>
      </c>
      <c r="K109" s="265">
        <v>9</v>
      </c>
      <c r="L109" s="267">
        <f t="shared" si="19"/>
        <v>11746</v>
      </c>
      <c r="M109" s="261"/>
      <c r="N109" s="261"/>
      <c r="O109" s="261"/>
      <c r="P109" s="266"/>
      <c r="Q109" s="267">
        <f t="shared" ref="Q109:Q116" si="21">17697*20%/72*P109</f>
        <v>0</v>
      </c>
      <c r="R109" s="261"/>
      <c r="S109" s="261"/>
      <c r="T109" s="267"/>
      <c r="U109" s="267">
        <f t="shared" si="16"/>
        <v>1175</v>
      </c>
      <c r="V109" s="267">
        <f t="shared" si="17"/>
        <v>12921</v>
      </c>
      <c r="W109" s="252"/>
      <c r="X109" s="243"/>
      <c r="Y109" s="105"/>
      <c r="Z109" s="105"/>
      <c r="AA109" s="105"/>
      <c r="AB109" s="105"/>
      <c r="AC109" s="105"/>
      <c r="AD109" s="105"/>
      <c r="AE109" s="105"/>
      <c r="AF109" s="105"/>
    </row>
    <row r="110" spans="1:32" s="22" customFormat="1" ht="105">
      <c r="A110" s="261">
        <v>7</v>
      </c>
      <c r="B110" s="275"/>
      <c r="C110" s="275" t="s">
        <v>224</v>
      </c>
      <c r="D110" s="261" t="s">
        <v>51</v>
      </c>
      <c r="E110" s="275" t="s">
        <v>220</v>
      </c>
      <c r="F110" s="275" t="s">
        <v>221</v>
      </c>
      <c r="G110" s="275" t="s">
        <v>146</v>
      </c>
      <c r="H110" s="277" t="s">
        <v>25</v>
      </c>
      <c r="I110" s="287">
        <v>80875</v>
      </c>
      <c r="J110" s="265">
        <f t="shared" si="18"/>
        <v>1123.26</v>
      </c>
      <c r="K110" s="265">
        <f>3.8+7.2</f>
        <v>11</v>
      </c>
      <c r="L110" s="267">
        <f t="shared" si="19"/>
        <v>12356</v>
      </c>
      <c r="M110" s="261"/>
      <c r="N110" s="261"/>
      <c r="O110" s="261"/>
      <c r="P110" s="261"/>
      <c r="Q110" s="267">
        <f t="shared" si="21"/>
        <v>0</v>
      </c>
      <c r="R110" s="261"/>
      <c r="S110" s="261"/>
      <c r="T110" s="267"/>
      <c r="U110" s="267">
        <f t="shared" si="16"/>
        <v>1236</v>
      </c>
      <c r="V110" s="267">
        <f t="shared" si="17"/>
        <v>13592</v>
      </c>
      <c r="W110" s="252"/>
      <c r="X110" s="243"/>
      <c r="Y110" s="105"/>
      <c r="Z110" s="105"/>
      <c r="AA110" s="105"/>
      <c r="AB110" s="105"/>
      <c r="AC110" s="105"/>
      <c r="AD110" s="105"/>
      <c r="AE110" s="105"/>
      <c r="AF110" s="105"/>
    </row>
    <row r="111" spans="1:32" s="22" customFormat="1" ht="30">
      <c r="A111" s="268">
        <v>8</v>
      </c>
      <c r="B111" s="263"/>
      <c r="C111" s="274" t="s">
        <v>117</v>
      </c>
      <c r="D111" s="261" t="s">
        <v>51</v>
      </c>
      <c r="E111" s="263" t="s">
        <v>111</v>
      </c>
      <c r="F111" s="263" t="s">
        <v>118</v>
      </c>
      <c r="G111" s="263" t="s">
        <v>171</v>
      </c>
      <c r="H111" s="264" t="s">
        <v>25</v>
      </c>
      <c r="I111" s="264">
        <v>92201</v>
      </c>
      <c r="J111" s="265">
        <f t="shared" si="18"/>
        <v>1280.57</v>
      </c>
      <c r="K111" s="299">
        <v>15.6</v>
      </c>
      <c r="L111" s="267">
        <f t="shared" si="19"/>
        <v>19977</v>
      </c>
      <c r="M111" s="261"/>
      <c r="N111" s="261"/>
      <c r="O111" s="261">
        <v>20</v>
      </c>
      <c r="P111" s="261">
        <v>15.6</v>
      </c>
      <c r="Q111" s="267">
        <f t="shared" si="21"/>
        <v>767</v>
      </c>
      <c r="R111" s="261"/>
      <c r="S111" s="261"/>
      <c r="T111" s="267"/>
      <c r="U111" s="267">
        <f t="shared" si="16"/>
        <v>1998</v>
      </c>
      <c r="V111" s="267">
        <f t="shared" si="17"/>
        <v>22742</v>
      </c>
      <c r="W111" s="252"/>
      <c r="X111" s="243"/>
      <c r="Y111" s="105"/>
      <c r="Z111" s="105"/>
      <c r="AA111" s="105"/>
      <c r="AB111" s="105"/>
      <c r="AC111" s="105"/>
      <c r="AD111" s="105"/>
      <c r="AE111" s="105"/>
      <c r="AF111" s="105"/>
    </row>
    <row r="112" spans="1:32" s="22" customFormat="1" ht="35.25" customHeight="1">
      <c r="A112" s="261">
        <v>9</v>
      </c>
      <c r="B112" s="275"/>
      <c r="C112" s="274" t="s">
        <v>33</v>
      </c>
      <c r="D112" s="261" t="s">
        <v>51</v>
      </c>
      <c r="E112" s="275" t="s">
        <v>34</v>
      </c>
      <c r="F112" s="275" t="s">
        <v>35</v>
      </c>
      <c r="G112" s="271" t="s">
        <v>141</v>
      </c>
      <c r="H112" s="271" t="s">
        <v>25</v>
      </c>
      <c r="I112" s="271">
        <v>85653</v>
      </c>
      <c r="J112" s="265">
        <f t="shared" si="18"/>
        <v>1189.6300000000001</v>
      </c>
      <c r="K112" s="266">
        <v>7.6</v>
      </c>
      <c r="L112" s="300">
        <f t="shared" si="19"/>
        <v>9041</v>
      </c>
      <c r="M112" s="288"/>
      <c r="N112" s="288"/>
      <c r="O112" s="288"/>
      <c r="P112" s="288"/>
      <c r="Q112" s="300">
        <f t="shared" si="21"/>
        <v>0</v>
      </c>
      <c r="R112" s="288"/>
      <c r="S112" s="288"/>
      <c r="T112" s="300"/>
      <c r="U112" s="267">
        <f t="shared" si="16"/>
        <v>904</v>
      </c>
      <c r="V112" s="267">
        <f t="shared" si="17"/>
        <v>9945</v>
      </c>
      <c r="W112" s="252"/>
      <c r="X112" s="243"/>
      <c r="Y112" s="105"/>
      <c r="Z112" s="105"/>
      <c r="AA112" s="105"/>
      <c r="AB112" s="105"/>
      <c r="AC112" s="105"/>
      <c r="AD112" s="105"/>
      <c r="AE112" s="105"/>
      <c r="AF112" s="105"/>
    </row>
    <row r="113" spans="1:32" s="22" customFormat="1" ht="51.75" customHeight="1">
      <c r="A113" s="268">
        <v>10</v>
      </c>
      <c r="B113" s="287"/>
      <c r="C113" s="287" t="s">
        <v>210</v>
      </c>
      <c r="D113" s="261" t="s">
        <v>51</v>
      </c>
      <c r="E113" s="287" t="s">
        <v>225</v>
      </c>
      <c r="F113" s="287" t="s">
        <v>226</v>
      </c>
      <c r="G113" s="301" t="s">
        <v>147</v>
      </c>
      <c r="H113" s="277" t="s">
        <v>25</v>
      </c>
      <c r="I113" s="287">
        <v>89016</v>
      </c>
      <c r="J113" s="302">
        <f t="shared" si="18"/>
        <v>1236.33</v>
      </c>
      <c r="K113" s="266">
        <v>3.8</v>
      </c>
      <c r="L113" s="267">
        <f t="shared" si="19"/>
        <v>4698</v>
      </c>
      <c r="M113" s="261"/>
      <c r="N113" s="261"/>
      <c r="O113" s="261"/>
      <c r="P113" s="261"/>
      <c r="Q113" s="267">
        <f t="shared" si="21"/>
        <v>0</v>
      </c>
      <c r="R113" s="261"/>
      <c r="S113" s="261"/>
      <c r="T113" s="267"/>
      <c r="U113" s="267">
        <f t="shared" si="16"/>
        <v>470</v>
      </c>
      <c r="V113" s="267">
        <f t="shared" si="17"/>
        <v>5168</v>
      </c>
      <c r="W113" s="252"/>
      <c r="X113" s="243"/>
      <c r="Y113" s="105"/>
      <c r="Z113" s="105"/>
      <c r="AA113" s="105"/>
      <c r="AB113" s="105"/>
      <c r="AC113" s="105"/>
      <c r="AD113" s="105"/>
      <c r="AE113" s="105"/>
      <c r="AF113" s="105"/>
    </row>
    <row r="114" spans="1:32" s="22" customFormat="1" ht="45">
      <c r="A114" s="261">
        <v>11</v>
      </c>
      <c r="B114" s="272"/>
      <c r="C114" s="269" t="s">
        <v>110</v>
      </c>
      <c r="D114" s="261" t="s">
        <v>51</v>
      </c>
      <c r="E114" s="269" t="s">
        <v>111</v>
      </c>
      <c r="F114" s="269" t="s">
        <v>112</v>
      </c>
      <c r="G114" s="269" t="s">
        <v>169</v>
      </c>
      <c r="H114" s="271" t="s">
        <v>25</v>
      </c>
      <c r="I114" s="271">
        <v>92201</v>
      </c>
      <c r="J114" s="265">
        <f t="shared" si="18"/>
        <v>1280.57</v>
      </c>
      <c r="K114" s="261">
        <v>14.6</v>
      </c>
      <c r="L114" s="267">
        <f t="shared" si="19"/>
        <v>18696</v>
      </c>
      <c r="M114" s="261"/>
      <c r="N114" s="261"/>
      <c r="O114" s="261">
        <v>20</v>
      </c>
      <c r="P114" s="261">
        <v>14.6</v>
      </c>
      <c r="Q114" s="267">
        <f t="shared" si="21"/>
        <v>718</v>
      </c>
      <c r="R114" s="261"/>
      <c r="S114" s="261"/>
      <c r="T114" s="267"/>
      <c r="U114" s="267">
        <f t="shared" si="16"/>
        <v>1870</v>
      </c>
      <c r="V114" s="267">
        <f t="shared" si="17"/>
        <v>21284</v>
      </c>
      <c r="W114" s="252"/>
      <c r="X114" s="243"/>
      <c r="Y114" s="105"/>
      <c r="Z114" s="105"/>
      <c r="AA114" s="105"/>
      <c r="AB114" s="105"/>
      <c r="AC114" s="105"/>
      <c r="AD114" s="105"/>
      <c r="AE114" s="105"/>
      <c r="AF114" s="105"/>
    </row>
    <row r="115" spans="1:32" s="22" customFormat="1" ht="30">
      <c r="A115" s="268">
        <v>12</v>
      </c>
      <c r="B115" s="269"/>
      <c r="C115" s="270" t="s">
        <v>239</v>
      </c>
      <c r="D115" s="261" t="s">
        <v>51</v>
      </c>
      <c r="E115" s="275" t="s">
        <v>90</v>
      </c>
      <c r="F115" s="269" t="s">
        <v>91</v>
      </c>
      <c r="G115" s="269" t="s">
        <v>162</v>
      </c>
      <c r="H115" s="264" t="s">
        <v>25</v>
      </c>
      <c r="I115" s="271">
        <v>92201</v>
      </c>
      <c r="J115" s="299">
        <f t="shared" si="18"/>
        <v>1280.57</v>
      </c>
      <c r="K115" s="266">
        <f>11.6+5.4</f>
        <v>17</v>
      </c>
      <c r="L115" s="267">
        <f t="shared" si="19"/>
        <v>21770</v>
      </c>
      <c r="M115" s="261"/>
      <c r="N115" s="261"/>
      <c r="O115" s="261">
        <v>20</v>
      </c>
      <c r="P115" s="261">
        <v>11.6</v>
      </c>
      <c r="Q115" s="267">
        <f t="shared" si="21"/>
        <v>570</v>
      </c>
      <c r="R115" s="261"/>
      <c r="S115" s="261"/>
      <c r="T115" s="267"/>
      <c r="U115" s="267">
        <f t="shared" si="16"/>
        <v>2177</v>
      </c>
      <c r="V115" s="267">
        <f t="shared" si="17"/>
        <v>24517</v>
      </c>
      <c r="W115" s="252"/>
      <c r="X115" s="243"/>
      <c r="Y115" s="105"/>
      <c r="Z115" s="105"/>
      <c r="AA115" s="105"/>
      <c r="AB115" s="105"/>
      <c r="AC115" s="105"/>
      <c r="AD115" s="105"/>
      <c r="AE115" s="105"/>
      <c r="AF115" s="105"/>
    </row>
    <row r="116" spans="1:32" s="22" customFormat="1" ht="54" customHeight="1">
      <c r="A116" s="261">
        <v>13</v>
      </c>
      <c r="B116" s="275"/>
      <c r="C116" s="269" t="s">
        <v>358</v>
      </c>
      <c r="D116" s="261" t="s">
        <v>51</v>
      </c>
      <c r="E116" s="269" t="s">
        <v>63</v>
      </c>
      <c r="F116" s="269" t="s">
        <v>64</v>
      </c>
      <c r="G116" s="269" t="s">
        <v>157</v>
      </c>
      <c r="H116" s="271" t="s">
        <v>25</v>
      </c>
      <c r="I116" s="271">
        <v>90609</v>
      </c>
      <c r="J116" s="265">
        <f t="shared" si="18"/>
        <v>1258.46</v>
      </c>
      <c r="K116" s="265">
        <f>3.6+2</f>
        <v>5.6</v>
      </c>
      <c r="L116" s="267">
        <f t="shared" si="19"/>
        <v>7047</v>
      </c>
      <c r="M116" s="261"/>
      <c r="N116" s="261"/>
      <c r="O116" s="261"/>
      <c r="P116" s="261"/>
      <c r="Q116" s="267">
        <f t="shared" si="21"/>
        <v>0</v>
      </c>
      <c r="R116" s="261"/>
      <c r="S116" s="261"/>
      <c r="T116" s="267"/>
      <c r="U116" s="267">
        <f t="shared" si="16"/>
        <v>705</v>
      </c>
      <c r="V116" s="267">
        <f t="shared" si="17"/>
        <v>7752</v>
      </c>
      <c r="W116" s="252"/>
      <c r="X116" s="243"/>
      <c r="Y116" s="105"/>
      <c r="Z116" s="105"/>
      <c r="AA116" s="105"/>
      <c r="AB116" s="105"/>
      <c r="AC116" s="105"/>
      <c r="AD116" s="105"/>
      <c r="AE116" s="105"/>
      <c r="AF116" s="105"/>
    </row>
    <row r="117" spans="1:32" s="22" customFormat="1" ht="48.75" customHeight="1">
      <c r="A117" s="268">
        <v>14</v>
      </c>
      <c r="B117" s="273"/>
      <c r="C117" s="269" t="s">
        <v>100</v>
      </c>
      <c r="D117" s="261" t="s">
        <v>51</v>
      </c>
      <c r="E117" s="273" t="s">
        <v>101</v>
      </c>
      <c r="F117" s="273" t="s">
        <v>102</v>
      </c>
      <c r="G117" s="273" t="s">
        <v>166</v>
      </c>
      <c r="H117" s="264" t="s">
        <v>25</v>
      </c>
      <c r="I117" s="271">
        <v>92201</v>
      </c>
      <c r="J117" s="265">
        <f t="shared" si="18"/>
        <v>1280.57</v>
      </c>
      <c r="K117" s="265">
        <v>15.2</v>
      </c>
      <c r="L117" s="267">
        <f t="shared" si="19"/>
        <v>19465</v>
      </c>
      <c r="M117" s="261"/>
      <c r="N117" s="261"/>
      <c r="O117" s="261"/>
      <c r="P117" s="261"/>
      <c r="Q117" s="267">
        <f>17697*25%/72*P117</f>
        <v>0</v>
      </c>
      <c r="R117" s="261"/>
      <c r="S117" s="261"/>
      <c r="T117" s="267"/>
      <c r="U117" s="267">
        <f t="shared" si="16"/>
        <v>1947</v>
      </c>
      <c r="V117" s="267">
        <f t="shared" si="17"/>
        <v>21412</v>
      </c>
      <c r="W117" s="252"/>
      <c r="X117" s="243"/>
      <c r="Y117" s="105"/>
      <c r="Z117" s="105"/>
      <c r="AA117" s="105"/>
      <c r="AB117" s="105"/>
      <c r="AC117" s="105"/>
      <c r="AD117" s="105"/>
      <c r="AE117" s="105"/>
      <c r="AF117" s="105"/>
    </row>
    <row r="118" spans="1:32" s="22" customFormat="1" ht="30">
      <c r="A118" s="261">
        <v>15</v>
      </c>
      <c r="B118" s="269"/>
      <c r="C118" s="269" t="s">
        <v>100</v>
      </c>
      <c r="D118" s="261" t="s">
        <v>51</v>
      </c>
      <c r="E118" s="269" t="s">
        <v>115</v>
      </c>
      <c r="F118" s="269" t="s">
        <v>116</v>
      </c>
      <c r="G118" s="269" t="s">
        <v>89</v>
      </c>
      <c r="H118" s="264" t="s">
        <v>25</v>
      </c>
      <c r="I118" s="271">
        <v>93971</v>
      </c>
      <c r="J118" s="265">
        <f t="shared" si="18"/>
        <v>1305.1500000000001</v>
      </c>
      <c r="K118" s="265">
        <v>11.6</v>
      </c>
      <c r="L118" s="267">
        <f t="shared" si="19"/>
        <v>15140</v>
      </c>
      <c r="M118" s="261"/>
      <c r="N118" s="261"/>
      <c r="O118" s="261"/>
      <c r="P118" s="261"/>
      <c r="Q118" s="267">
        <f>17697*20%/72*P118</f>
        <v>0</v>
      </c>
      <c r="R118" s="261"/>
      <c r="S118" s="261"/>
      <c r="T118" s="267"/>
      <c r="U118" s="267">
        <f t="shared" si="16"/>
        <v>1514</v>
      </c>
      <c r="V118" s="267">
        <f t="shared" si="17"/>
        <v>16654</v>
      </c>
      <c r="W118" s="252"/>
      <c r="X118" s="243"/>
      <c r="Y118" s="105"/>
      <c r="Z118" s="105"/>
      <c r="AA118" s="105"/>
      <c r="AB118" s="105"/>
      <c r="AC118" s="105"/>
      <c r="AD118" s="105"/>
      <c r="AE118" s="105"/>
      <c r="AF118" s="105"/>
    </row>
    <row r="119" spans="1:32" s="22" customFormat="1" ht="60">
      <c r="A119" s="268">
        <v>16</v>
      </c>
      <c r="B119" s="275"/>
      <c r="C119" s="270" t="s">
        <v>45</v>
      </c>
      <c r="D119" s="261" t="s">
        <v>51</v>
      </c>
      <c r="E119" s="275" t="s">
        <v>46</v>
      </c>
      <c r="F119" s="269" t="s">
        <v>47</v>
      </c>
      <c r="G119" s="269" t="s">
        <v>178</v>
      </c>
      <c r="H119" s="271" t="s">
        <v>25</v>
      </c>
      <c r="I119" s="271">
        <v>93971</v>
      </c>
      <c r="J119" s="265">
        <f t="shared" si="18"/>
        <v>1305.1500000000001</v>
      </c>
      <c r="K119" s="265">
        <v>5</v>
      </c>
      <c r="L119" s="267">
        <f t="shared" si="19"/>
        <v>6526</v>
      </c>
      <c r="M119" s="261"/>
      <c r="N119" s="261"/>
      <c r="O119" s="261"/>
      <c r="P119" s="261"/>
      <c r="Q119" s="267">
        <f>17697*20%/72*P119</f>
        <v>0</v>
      </c>
      <c r="R119" s="261"/>
      <c r="S119" s="261"/>
      <c r="T119" s="267"/>
      <c r="U119" s="267">
        <f t="shared" si="16"/>
        <v>653</v>
      </c>
      <c r="V119" s="267">
        <f t="shared" si="17"/>
        <v>7179</v>
      </c>
      <c r="W119" s="252"/>
      <c r="X119" s="243"/>
      <c r="Y119" s="105"/>
      <c r="Z119" s="105"/>
      <c r="AA119" s="105"/>
      <c r="AB119" s="105"/>
      <c r="AC119" s="105"/>
      <c r="AD119" s="105"/>
      <c r="AE119" s="105"/>
      <c r="AF119" s="105"/>
    </row>
    <row r="120" spans="1:32" s="22" customFormat="1" ht="60">
      <c r="A120" s="261">
        <v>17</v>
      </c>
      <c r="B120" s="275"/>
      <c r="C120" s="275" t="s">
        <v>357</v>
      </c>
      <c r="D120" s="261" t="s">
        <v>51</v>
      </c>
      <c r="E120" s="275" t="s">
        <v>31</v>
      </c>
      <c r="F120" s="275" t="s">
        <v>242</v>
      </c>
      <c r="G120" s="269" t="s">
        <v>145</v>
      </c>
      <c r="H120" s="271" t="s">
        <v>25</v>
      </c>
      <c r="I120" s="271">
        <v>85653</v>
      </c>
      <c r="J120" s="265">
        <f t="shared" si="18"/>
        <v>1189.6300000000001</v>
      </c>
      <c r="K120" s="265">
        <v>3.4</v>
      </c>
      <c r="L120" s="267">
        <f t="shared" si="19"/>
        <v>4045</v>
      </c>
      <c r="M120" s="261"/>
      <c r="N120" s="261"/>
      <c r="O120" s="261"/>
      <c r="P120" s="261"/>
      <c r="Q120" s="267">
        <f>17697*20%/72*P120</f>
        <v>0</v>
      </c>
      <c r="R120" s="261"/>
      <c r="S120" s="261"/>
      <c r="T120" s="267"/>
      <c r="U120" s="267">
        <f t="shared" si="16"/>
        <v>405</v>
      </c>
      <c r="V120" s="267">
        <f t="shared" si="17"/>
        <v>4450</v>
      </c>
      <c r="W120" s="252"/>
      <c r="X120" s="243"/>
      <c r="Y120" s="105"/>
      <c r="Z120" s="105"/>
      <c r="AA120" s="105"/>
      <c r="AB120" s="105"/>
      <c r="AC120" s="105"/>
      <c r="AD120" s="105"/>
      <c r="AE120" s="105"/>
      <c r="AF120" s="105"/>
    </row>
    <row r="121" spans="1:32" s="22" customFormat="1" ht="32.25" customHeight="1">
      <c r="A121" s="268">
        <v>18</v>
      </c>
      <c r="B121" s="275"/>
      <c r="C121" s="275" t="s">
        <v>251</v>
      </c>
      <c r="D121" s="261" t="s">
        <v>51</v>
      </c>
      <c r="E121" s="276"/>
      <c r="F121" s="282"/>
      <c r="G121" s="276" t="s">
        <v>50</v>
      </c>
      <c r="H121" s="271" t="s">
        <v>42</v>
      </c>
      <c r="I121" s="271">
        <v>85653</v>
      </c>
      <c r="J121" s="265">
        <f t="shared" si="18"/>
        <v>1189.6300000000001</v>
      </c>
      <c r="K121" s="266">
        <v>0.6</v>
      </c>
      <c r="L121" s="267">
        <f t="shared" si="19"/>
        <v>714</v>
      </c>
      <c r="M121" s="285"/>
      <c r="N121" s="285"/>
      <c r="O121" s="285"/>
      <c r="P121" s="306"/>
      <c r="Q121" s="264">
        <f>17697*20%/72*P121</f>
        <v>0</v>
      </c>
      <c r="R121" s="285"/>
      <c r="S121" s="264"/>
      <c r="T121" s="264"/>
      <c r="U121" s="267">
        <f t="shared" si="16"/>
        <v>71</v>
      </c>
      <c r="V121" s="267">
        <f t="shared" si="17"/>
        <v>785</v>
      </c>
      <c r="W121" s="252"/>
      <c r="X121" s="243"/>
      <c r="Y121" s="105"/>
      <c r="Z121" s="105"/>
      <c r="AA121" s="105"/>
      <c r="AB121" s="105"/>
      <c r="AC121" s="105"/>
      <c r="AD121" s="105"/>
      <c r="AE121" s="105"/>
      <c r="AF121" s="105"/>
    </row>
    <row r="122" spans="1:32" s="22" customFormat="1" ht="30">
      <c r="A122" s="261">
        <v>19</v>
      </c>
      <c r="B122" s="275"/>
      <c r="C122" s="286" t="s">
        <v>292</v>
      </c>
      <c r="D122" s="261" t="s">
        <v>51</v>
      </c>
      <c r="E122" s="287"/>
      <c r="F122" s="287"/>
      <c r="G122" s="276" t="s">
        <v>50</v>
      </c>
      <c r="H122" s="271" t="s">
        <v>42</v>
      </c>
      <c r="I122" s="271">
        <v>85653</v>
      </c>
      <c r="J122" s="265">
        <f t="shared" si="18"/>
        <v>1189.6300000000001</v>
      </c>
      <c r="K122" s="304">
        <f>7.2+10</f>
        <v>17.2</v>
      </c>
      <c r="L122" s="267">
        <f t="shared" si="19"/>
        <v>20462</v>
      </c>
      <c r="M122" s="304"/>
      <c r="N122" s="304"/>
      <c r="O122" s="304"/>
      <c r="P122" s="304"/>
      <c r="Q122" s="305"/>
      <c r="R122" s="304"/>
      <c r="S122" s="304"/>
      <c r="T122" s="305"/>
      <c r="U122" s="267">
        <f t="shared" si="16"/>
        <v>2046</v>
      </c>
      <c r="V122" s="267">
        <f t="shared" si="17"/>
        <v>22508</v>
      </c>
      <c r="W122" s="252"/>
      <c r="X122" s="243"/>
      <c r="Y122" s="105"/>
      <c r="Z122" s="105"/>
      <c r="AA122" s="105"/>
      <c r="AB122" s="105"/>
      <c r="AC122" s="105"/>
      <c r="AD122" s="105"/>
      <c r="AE122" s="105"/>
      <c r="AF122" s="105"/>
    </row>
    <row r="123" spans="1:32" s="22" customFormat="1" ht="15" customHeight="1">
      <c r="A123" s="261"/>
      <c r="B123" s="261" t="s">
        <v>8</v>
      </c>
      <c r="C123" s="261"/>
      <c r="D123" s="261"/>
      <c r="E123" s="261"/>
      <c r="F123" s="261"/>
      <c r="G123" s="261"/>
      <c r="H123" s="261"/>
      <c r="I123" s="261"/>
      <c r="J123" s="265"/>
      <c r="K123" s="265">
        <f>SUM(K104:K122)</f>
        <v>203.4</v>
      </c>
      <c r="L123" s="265">
        <f t="shared" ref="L123:V123" si="22">SUM(L104:L122)</f>
        <v>255199</v>
      </c>
      <c r="M123" s="265">
        <f t="shared" si="22"/>
        <v>4424</v>
      </c>
      <c r="N123" s="265">
        <f t="shared" si="22"/>
        <v>0</v>
      </c>
      <c r="O123" s="265"/>
      <c r="P123" s="265">
        <f t="shared" si="22"/>
        <v>82.2</v>
      </c>
      <c r="Q123" s="265">
        <f t="shared" si="22"/>
        <v>4361</v>
      </c>
      <c r="R123" s="265">
        <f t="shared" si="22"/>
        <v>0</v>
      </c>
      <c r="S123" s="265">
        <f t="shared" si="22"/>
        <v>0</v>
      </c>
      <c r="T123" s="265">
        <f t="shared" si="22"/>
        <v>0</v>
      </c>
      <c r="U123" s="265">
        <f t="shared" si="22"/>
        <v>25524</v>
      </c>
      <c r="V123" s="265">
        <f t="shared" si="22"/>
        <v>289508</v>
      </c>
      <c r="W123" s="252"/>
      <c r="X123" s="243"/>
      <c r="Y123" s="105"/>
      <c r="Z123" s="105"/>
      <c r="AA123" s="105"/>
      <c r="AB123" s="105"/>
      <c r="AC123" s="105"/>
      <c r="AD123" s="105"/>
      <c r="AE123" s="105"/>
      <c r="AF123" s="105"/>
    </row>
    <row r="124" spans="1:32" s="22" customFormat="1" ht="1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8"/>
      <c r="L124" s="296"/>
      <c r="M124" s="296"/>
      <c r="N124" s="290" t="s">
        <v>213</v>
      </c>
      <c r="O124" s="290"/>
      <c r="P124" s="290"/>
      <c r="Q124" s="290"/>
      <c r="R124" s="291"/>
      <c r="S124" s="291"/>
      <c r="T124" s="296"/>
      <c r="U124" s="296"/>
      <c r="V124" s="296"/>
      <c r="W124" s="252"/>
      <c r="X124" s="243"/>
      <c r="Y124" s="105"/>
      <c r="Z124" s="105"/>
      <c r="AA124" s="105"/>
      <c r="AB124" s="105"/>
      <c r="AC124" s="105"/>
      <c r="AD124" s="105"/>
      <c r="AE124" s="105"/>
      <c r="AF124" s="105"/>
    </row>
    <row r="125" spans="1:32" s="22" customFormat="1" ht="15.75">
      <c r="A125" s="289"/>
      <c r="B125" s="308"/>
      <c r="C125" s="309"/>
      <c r="D125" s="289"/>
      <c r="E125" s="310"/>
      <c r="F125" s="311"/>
      <c r="G125" s="312"/>
      <c r="H125" s="313"/>
      <c r="I125" s="313"/>
      <c r="J125" s="314"/>
      <c r="K125" s="289"/>
      <c r="L125" s="315"/>
      <c r="M125" s="289"/>
      <c r="N125" s="289"/>
      <c r="O125" s="289"/>
      <c r="P125" s="289"/>
      <c r="Q125" s="315"/>
      <c r="R125" s="289"/>
      <c r="S125" s="289"/>
      <c r="T125" s="315"/>
      <c r="U125" s="315"/>
      <c r="V125" s="315"/>
      <c r="W125" s="252"/>
      <c r="X125" s="243"/>
      <c r="Y125" s="105"/>
      <c r="Z125" s="105"/>
      <c r="AA125" s="105"/>
      <c r="AB125" s="105"/>
      <c r="AC125" s="105"/>
      <c r="AD125" s="105"/>
      <c r="AE125" s="105"/>
      <c r="AF125" s="105"/>
    </row>
    <row r="126" spans="1:32" s="22" customFormat="1" ht="15.75">
      <c r="A126" s="296"/>
      <c r="B126" s="296"/>
      <c r="C126" s="296"/>
      <c r="D126" s="296"/>
      <c r="E126" s="296"/>
      <c r="F126" s="296"/>
      <c r="G126" s="296"/>
      <c r="H126" s="296"/>
      <c r="I126" s="296"/>
      <c r="J126" s="296"/>
      <c r="K126" s="298"/>
      <c r="L126" s="296"/>
      <c r="M126" s="296"/>
      <c r="N126" s="290"/>
      <c r="O126" s="290"/>
      <c r="P126" s="290"/>
      <c r="Q126" s="290"/>
      <c r="R126" s="291"/>
      <c r="S126" s="316"/>
      <c r="T126" s="296"/>
      <c r="U126" s="296"/>
      <c r="V126" s="296"/>
      <c r="W126" s="252"/>
      <c r="X126" s="243"/>
      <c r="Y126" s="105"/>
      <c r="Z126" s="105"/>
      <c r="AA126" s="105"/>
      <c r="AB126" s="105"/>
      <c r="AC126" s="105"/>
      <c r="AD126" s="105"/>
      <c r="AE126" s="105"/>
      <c r="AF126" s="105"/>
    </row>
    <row r="127" spans="1:32" s="22" customFormat="1" ht="15.75">
      <c r="A127" s="295" t="s">
        <v>0</v>
      </c>
      <c r="B127" s="295"/>
      <c r="C127" s="295"/>
      <c r="D127" s="295"/>
      <c r="E127" s="296"/>
      <c r="F127" s="296"/>
      <c r="G127" s="296"/>
      <c r="H127" s="296"/>
      <c r="I127" s="296"/>
      <c r="J127" s="296"/>
      <c r="K127" s="296"/>
      <c r="L127" s="296"/>
      <c r="M127" s="296"/>
      <c r="N127" s="257" t="s">
        <v>1</v>
      </c>
      <c r="O127" s="257"/>
      <c r="P127" s="257"/>
      <c r="Q127" s="257"/>
      <c r="R127" s="257"/>
      <c r="S127" s="257"/>
      <c r="T127" s="257"/>
      <c r="U127" s="258"/>
      <c r="V127" s="258"/>
      <c r="W127" s="252"/>
      <c r="X127" s="243"/>
      <c r="Y127" s="105"/>
      <c r="Z127" s="105"/>
      <c r="AA127" s="105"/>
      <c r="AB127" s="105"/>
      <c r="AC127" s="105"/>
      <c r="AD127" s="105"/>
      <c r="AE127" s="105"/>
      <c r="AF127" s="105"/>
    </row>
    <row r="128" spans="1:32" s="22" customFormat="1" ht="15.75">
      <c r="A128" s="295" t="s">
        <v>2</v>
      </c>
      <c r="B128" s="295"/>
      <c r="C128" s="295"/>
      <c r="D128" s="295"/>
      <c r="E128" s="296"/>
      <c r="F128" s="296"/>
      <c r="G128" s="296"/>
      <c r="H128" s="296"/>
      <c r="I128" s="296"/>
      <c r="J128" s="296"/>
      <c r="K128" s="296"/>
      <c r="L128" s="296"/>
      <c r="M128" s="296"/>
      <c r="N128" s="257" t="s">
        <v>3</v>
      </c>
      <c r="O128" s="257"/>
      <c r="P128" s="257"/>
      <c r="Q128" s="257"/>
      <c r="R128" s="257"/>
      <c r="S128" s="257"/>
      <c r="T128" s="257"/>
      <c r="U128" s="258"/>
      <c r="V128" s="258"/>
      <c r="W128" s="252"/>
      <c r="X128" s="243"/>
      <c r="Y128" s="105"/>
      <c r="Z128" s="105"/>
      <c r="AA128" s="105"/>
      <c r="AB128" s="105"/>
      <c r="AC128" s="105"/>
      <c r="AD128" s="105"/>
      <c r="AE128" s="105"/>
      <c r="AF128" s="105"/>
    </row>
    <row r="129" spans="1:32" s="22" customFormat="1" ht="15.75">
      <c r="A129" s="295"/>
      <c r="B129" s="295"/>
      <c r="C129" s="295"/>
      <c r="D129" s="295"/>
      <c r="E129" s="296"/>
      <c r="F129" s="296"/>
      <c r="G129" s="296"/>
      <c r="H129" s="296"/>
      <c r="I129" s="296"/>
      <c r="J129" s="296"/>
      <c r="K129" s="296"/>
      <c r="L129" s="296"/>
      <c r="M129" s="296"/>
      <c r="N129" s="256" t="s">
        <v>4</v>
      </c>
      <c r="O129" s="256"/>
      <c r="P129" s="256"/>
      <c r="Q129" s="256"/>
      <c r="R129" s="256"/>
      <c r="S129" s="256"/>
      <c r="T129" s="256"/>
      <c r="U129" s="258"/>
      <c r="V129" s="258"/>
      <c r="W129" s="252"/>
      <c r="X129" s="243"/>
      <c r="Y129" s="105"/>
      <c r="Z129" s="105"/>
      <c r="AA129" s="105"/>
      <c r="AB129" s="105"/>
      <c r="AC129" s="105"/>
      <c r="AD129" s="105"/>
      <c r="AE129" s="105"/>
      <c r="AF129" s="105"/>
    </row>
    <row r="130" spans="1:32" s="22" customFormat="1" ht="15.75">
      <c r="A130" s="295" t="s">
        <v>5</v>
      </c>
      <c r="B130" s="295"/>
      <c r="C130" s="295" t="s">
        <v>6</v>
      </c>
      <c r="D130" s="295"/>
      <c r="E130" s="445" t="s">
        <v>183</v>
      </c>
      <c r="F130" s="445"/>
      <c r="G130" s="445"/>
      <c r="H130" s="445"/>
      <c r="I130" s="445"/>
      <c r="J130" s="445"/>
      <c r="K130" s="445"/>
      <c r="L130" s="445"/>
      <c r="M130" s="258"/>
      <c r="N130" s="257" t="s">
        <v>139</v>
      </c>
      <c r="O130" s="257"/>
      <c r="P130" s="257"/>
      <c r="Q130" s="257"/>
      <c r="R130" s="257"/>
      <c r="S130" s="257"/>
      <c r="T130" s="257"/>
      <c r="U130" s="258"/>
      <c r="V130" s="258"/>
      <c r="W130" s="252"/>
      <c r="X130" s="243"/>
      <c r="Y130" s="105"/>
      <c r="Z130" s="105"/>
      <c r="AA130" s="105"/>
      <c r="AB130" s="105"/>
      <c r="AC130" s="105"/>
      <c r="AD130" s="105"/>
      <c r="AE130" s="105"/>
      <c r="AF130" s="105"/>
    </row>
    <row r="131" spans="1:32" s="22" customFormat="1" ht="15.75">
      <c r="A131" s="295"/>
      <c r="B131" s="295"/>
      <c r="C131" s="295"/>
      <c r="D131" s="295"/>
      <c r="E131" s="446" t="s">
        <v>184</v>
      </c>
      <c r="F131" s="446"/>
      <c r="G131" s="446"/>
      <c r="H131" s="446"/>
      <c r="I131" s="446"/>
      <c r="J131" s="446"/>
      <c r="K131" s="446"/>
      <c r="L131" s="446"/>
      <c r="M131" s="446"/>
      <c r="N131" s="296"/>
      <c r="O131" s="296"/>
      <c r="P131" s="296"/>
      <c r="Q131" s="296"/>
      <c r="R131" s="296"/>
      <c r="S131" s="296"/>
      <c r="T131" s="296"/>
      <c r="U131" s="296"/>
      <c r="V131" s="296"/>
      <c r="W131" s="252"/>
      <c r="X131" s="243"/>
      <c r="Y131" s="105"/>
      <c r="Z131" s="105"/>
      <c r="AA131" s="105"/>
      <c r="AB131" s="105"/>
      <c r="AC131" s="105"/>
      <c r="AD131" s="105"/>
      <c r="AE131" s="105"/>
      <c r="AF131" s="105"/>
    </row>
    <row r="132" spans="1:32" s="22" customFormat="1" ht="15.75">
      <c r="A132" s="296"/>
      <c r="B132" s="296"/>
      <c r="C132" s="296"/>
      <c r="D132" s="296"/>
      <c r="E132" s="447" t="s">
        <v>219</v>
      </c>
      <c r="F132" s="447"/>
      <c r="G132" s="447"/>
      <c r="H132" s="447"/>
      <c r="I132" s="447"/>
      <c r="J132" s="447"/>
      <c r="K132" s="447"/>
      <c r="L132" s="447"/>
      <c r="M132" s="447"/>
      <c r="N132" s="296"/>
      <c r="O132" s="296"/>
      <c r="P132" s="296"/>
      <c r="Q132" s="296"/>
      <c r="R132" s="296"/>
      <c r="S132" s="296"/>
      <c r="T132" s="296"/>
      <c r="U132" s="296"/>
      <c r="V132" s="296"/>
      <c r="W132" s="252"/>
      <c r="X132" s="243"/>
      <c r="Y132" s="105"/>
      <c r="Z132" s="105"/>
      <c r="AA132" s="105"/>
      <c r="AB132" s="105"/>
      <c r="AC132" s="105"/>
      <c r="AD132" s="105"/>
      <c r="AE132" s="105"/>
      <c r="AF132" s="105"/>
    </row>
    <row r="133" spans="1:32" s="22" customFormat="1" ht="15.75">
      <c r="A133" s="296"/>
      <c r="B133" s="296"/>
      <c r="C133" s="296"/>
      <c r="D133" s="296"/>
      <c r="E133" s="447" t="s">
        <v>7</v>
      </c>
      <c r="F133" s="447"/>
      <c r="G133" s="447"/>
      <c r="H133" s="447"/>
      <c r="I133" s="447"/>
      <c r="J133" s="447"/>
      <c r="K133" s="447"/>
      <c r="L133" s="447"/>
      <c r="M133" s="447"/>
      <c r="N133" s="296"/>
      <c r="O133" s="296"/>
      <c r="P133" s="296"/>
      <c r="Q133" s="296"/>
      <c r="R133" s="296"/>
      <c r="S133" s="296"/>
      <c r="T133" s="296"/>
      <c r="U133" s="296"/>
      <c r="V133" s="296"/>
      <c r="W133" s="252"/>
      <c r="X133" s="243"/>
      <c r="Y133" s="105"/>
      <c r="Z133" s="105"/>
      <c r="AA133" s="105"/>
      <c r="AB133" s="105"/>
      <c r="AC133" s="105"/>
      <c r="AD133" s="105"/>
      <c r="AE133" s="105"/>
      <c r="AF133" s="105"/>
    </row>
    <row r="134" spans="1:32" s="22" customFormat="1" ht="15.75">
      <c r="A134" s="296"/>
      <c r="B134" s="296"/>
      <c r="C134" s="296"/>
      <c r="D134" s="296"/>
      <c r="E134" s="296"/>
      <c r="F134" s="296"/>
      <c r="G134" s="296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 t="s">
        <v>185</v>
      </c>
      <c r="R134" s="296"/>
      <c r="S134" s="296"/>
      <c r="T134" s="296"/>
      <c r="U134" s="296"/>
      <c r="V134" s="296"/>
      <c r="W134" s="252"/>
      <c r="X134" s="243"/>
      <c r="Y134" s="105"/>
      <c r="Z134" s="105"/>
      <c r="AA134" s="105"/>
      <c r="AB134" s="105"/>
      <c r="AC134" s="105"/>
      <c r="AD134" s="105"/>
      <c r="AE134" s="105"/>
      <c r="AF134" s="105"/>
    </row>
    <row r="135" spans="1:32" s="22" customFormat="1" ht="15.75">
      <c r="A135" s="296"/>
      <c r="B135" s="296"/>
      <c r="C135" s="296"/>
      <c r="D135" s="296"/>
      <c r="E135" s="296"/>
      <c r="F135" s="296"/>
      <c r="G135" s="296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 t="s">
        <v>265</v>
      </c>
      <c r="R135" s="296"/>
      <c r="S135" s="296"/>
      <c r="T135" s="296"/>
      <c r="U135" s="296"/>
      <c r="V135" s="296"/>
      <c r="W135" s="252"/>
      <c r="X135" s="243"/>
      <c r="Y135" s="105"/>
      <c r="Z135" s="105"/>
      <c r="AA135" s="105"/>
      <c r="AB135" s="105"/>
      <c r="AC135" s="105"/>
      <c r="AD135" s="105"/>
      <c r="AE135" s="105"/>
      <c r="AF135" s="105"/>
    </row>
    <row r="136" spans="1:32" s="26" customFormat="1" ht="15.75">
      <c r="A136" s="296"/>
      <c r="B136" s="296"/>
      <c r="C136" s="296"/>
      <c r="D136" s="296"/>
      <c r="E136" s="296"/>
      <c r="F136" s="296"/>
      <c r="G136" s="296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 t="s">
        <v>186</v>
      </c>
      <c r="R136" s="296"/>
      <c r="S136" s="296"/>
      <c r="T136" s="296" t="s">
        <v>244</v>
      </c>
      <c r="U136" s="296"/>
      <c r="V136" s="296"/>
      <c r="W136" s="253"/>
      <c r="X136" s="44"/>
      <c r="Y136" s="121"/>
      <c r="Z136" s="121"/>
      <c r="AA136" s="121"/>
      <c r="AB136" s="121"/>
      <c r="AC136" s="121"/>
      <c r="AD136" s="121"/>
      <c r="AE136" s="121"/>
      <c r="AF136" s="121"/>
    </row>
    <row r="137" spans="1:32" s="26" customFormat="1" ht="15.75">
      <c r="A137" s="296"/>
      <c r="B137" s="296"/>
      <c r="C137" s="296"/>
      <c r="D137" s="296"/>
      <c r="E137" s="296"/>
      <c r="F137" s="296"/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 t="s">
        <v>188</v>
      </c>
      <c r="R137" s="296"/>
      <c r="S137" s="296"/>
      <c r="T137" s="296">
        <v>2</v>
      </c>
      <c r="U137" s="296"/>
      <c r="V137" s="296"/>
      <c r="W137" s="253"/>
      <c r="X137" s="44"/>
      <c r="Y137" s="121"/>
      <c r="Z137" s="121"/>
      <c r="AA137" s="121"/>
      <c r="AB137" s="121"/>
      <c r="AC137" s="121"/>
      <c r="AD137" s="121"/>
      <c r="AE137" s="121"/>
      <c r="AF137" s="121"/>
    </row>
    <row r="138" spans="1:32" s="26" customFormat="1" ht="15.75">
      <c r="A138" s="296"/>
      <c r="B138" s="296"/>
      <c r="C138" s="296"/>
      <c r="D138" s="296"/>
      <c r="E138" s="296"/>
      <c r="F138" s="296"/>
      <c r="G138" s="296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 t="s">
        <v>189</v>
      </c>
      <c r="R138" s="296"/>
      <c r="S138" s="296"/>
      <c r="T138" s="296">
        <v>25</v>
      </c>
      <c r="U138" s="296" t="s">
        <v>190</v>
      </c>
      <c r="V138" s="296"/>
      <c r="W138" s="253"/>
      <c r="X138" s="44"/>
      <c r="Y138" s="121"/>
      <c r="Z138" s="121"/>
      <c r="AA138" s="121"/>
      <c r="AB138" s="121"/>
      <c r="AC138" s="121"/>
      <c r="AD138" s="121"/>
      <c r="AE138" s="121"/>
      <c r="AF138" s="121"/>
    </row>
    <row r="139" spans="1:32" s="26" customFormat="1" ht="15.75">
      <c r="A139" s="296"/>
      <c r="B139" s="296"/>
      <c r="C139" s="296"/>
      <c r="D139" s="296"/>
      <c r="E139" s="296"/>
      <c r="F139" s="296"/>
      <c r="G139" s="296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 t="s">
        <v>191</v>
      </c>
      <c r="R139" s="296"/>
      <c r="S139" s="296"/>
      <c r="T139" s="296">
        <v>25</v>
      </c>
      <c r="U139" s="298">
        <f>T139*100/T138</f>
        <v>100</v>
      </c>
      <c r="V139" s="296" t="s">
        <v>17</v>
      </c>
      <c r="W139" s="253"/>
      <c r="X139" s="44"/>
      <c r="Y139" s="121"/>
      <c r="Z139" s="121"/>
      <c r="AA139" s="121"/>
      <c r="AB139" s="121"/>
      <c r="AC139" s="121"/>
      <c r="AD139" s="121"/>
      <c r="AE139" s="121"/>
      <c r="AF139" s="121"/>
    </row>
    <row r="140" spans="1:32" s="26" customFormat="1" ht="15.75">
      <c r="A140" s="296"/>
      <c r="B140" s="296"/>
      <c r="C140" s="296"/>
      <c r="D140" s="296"/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 t="s">
        <v>192</v>
      </c>
      <c r="R140" s="296"/>
      <c r="S140" s="296"/>
      <c r="T140" s="296">
        <v>0</v>
      </c>
      <c r="U140" s="298">
        <f>T140*100/T138</f>
        <v>0</v>
      </c>
      <c r="V140" s="296" t="s">
        <v>17</v>
      </c>
      <c r="W140" s="253"/>
      <c r="X140" s="44"/>
      <c r="Y140" s="121"/>
      <c r="Z140" s="121"/>
      <c r="AA140" s="121"/>
      <c r="AB140" s="121"/>
      <c r="AC140" s="121"/>
      <c r="AD140" s="121"/>
      <c r="AE140" s="121"/>
      <c r="AF140" s="121"/>
    </row>
    <row r="141" spans="1:32" s="26" customFormat="1" ht="15.75">
      <c r="A141" s="296"/>
      <c r="B141" s="296"/>
      <c r="C141" s="296"/>
      <c r="D141" s="296"/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 t="s">
        <v>193</v>
      </c>
      <c r="R141" s="296"/>
      <c r="S141" s="296"/>
      <c r="T141" s="296">
        <f>K161</f>
        <v>176.8</v>
      </c>
      <c r="U141" s="296"/>
      <c r="V141" s="296"/>
      <c r="W141" s="253"/>
      <c r="X141" s="44"/>
      <c r="Y141" s="121"/>
      <c r="Z141" s="121"/>
      <c r="AA141" s="121"/>
      <c r="AB141" s="121"/>
      <c r="AC141" s="121"/>
      <c r="AD141" s="121"/>
      <c r="AE141" s="121"/>
      <c r="AF141" s="121"/>
    </row>
    <row r="142" spans="1:32" s="26" customFormat="1" ht="15.75">
      <c r="A142" s="296"/>
      <c r="B142" s="296" t="s">
        <v>245</v>
      </c>
      <c r="C142" s="296" t="s">
        <v>246</v>
      </c>
      <c r="D142" s="296"/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53"/>
      <c r="X142" s="44"/>
      <c r="Y142" s="121"/>
      <c r="Z142" s="121"/>
      <c r="AA142" s="121"/>
      <c r="AB142" s="121"/>
      <c r="AC142" s="121"/>
      <c r="AD142" s="121"/>
      <c r="AE142" s="121"/>
      <c r="AF142" s="121"/>
    </row>
    <row r="143" spans="1:32" s="26" customFormat="1" ht="15.75">
      <c r="A143" s="438" t="s">
        <v>195</v>
      </c>
      <c r="B143" s="438" t="s">
        <v>196</v>
      </c>
      <c r="C143" s="438" t="s">
        <v>197</v>
      </c>
      <c r="D143" s="438" t="s">
        <v>198</v>
      </c>
      <c r="E143" s="438" t="s">
        <v>10</v>
      </c>
      <c r="F143" s="438" t="s">
        <v>199</v>
      </c>
      <c r="G143" s="438" t="s">
        <v>200</v>
      </c>
      <c r="H143" s="438" t="s">
        <v>201</v>
      </c>
      <c r="I143" s="442" t="s">
        <v>202</v>
      </c>
      <c r="J143" s="438" t="s">
        <v>11</v>
      </c>
      <c r="K143" s="438" t="s">
        <v>203</v>
      </c>
      <c r="L143" s="438" t="s">
        <v>12</v>
      </c>
      <c r="M143" s="441" t="s">
        <v>204</v>
      </c>
      <c r="N143" s="441"/>
      <c r="O143" s="441"/>
      <c r="P143" s="441"/>
      <c r="Q143" s="441"/>
      <c r="R143" s="441"/>
      <c r="S143" s="441"/>
      <c r="T143" s="441"/>
      <c r="U143" s="438" t="s">
        <v>205</v>
      </c>
      <c r="V143" s="438" t="s">
        <v>206</v>
      </c>
      <c r="W143" s="253"/>
      <c r="X143" s="44"/>
      <c r="Y143" s="121"/>
      <c r="Z143" s="121"/>
      <c r="AA143" s="121"/>
      <c r="AB143" s="121"/>
      <c r="AC143" s="121"/>
      <c r="AD143" s="121"/>
      <c r="AE143" s="121"/>
      <c r="AF143" s="121"/>
    </row>
    <row r="144" spans="1:32" s="26" customFormat="1" ht="59.25" customHeight="1">
      <c r="A144" s="439"/>
      <c r="B144" s="439"/>
      <c r="C144" s="439"/>
      <c r="D144" s="439"/>
      <c r="E144" s="439"/>
      <c r="F144" s="439"/>
      <c r="G144" s="439"/>
      <c r="H144" s="439"/>
      <c r="I144" s="443"/>
      <c r="J144" s="439"/>
      <c r="K144" s="439"/>
      <c r="L144" s="439"/>
      <c r="M144" s="438" t="s">
        <v>207</v>
      </c>
      <c r="N144" s="438" t="s">
        <v>15</v>
      </c>
      <c r="O144" s="441" t="s">
        <v>16</v>
      </c>
      <c r="P144" s="441"/>
      <c r="Q144" s="441"/>
      <c r="R144" s="438" t="s">
        <v>215</v>
      </c>
      <c r="S144" s="438"/>
      <c r="T144" s="438"/>
      <c r="U144" s="439"/>
      <c r="V144" s="439"/>
      <c r="W144" s="253"/>
      <c r="X144" s="44"/>
      <c r="Y144" s="121"/>
      <c r="Z144" s="121"/>
      <c r="AA144" s="121"/>
      <c r="AB144" s="121"/>
      <c r="AC144" s="121"/>
      <c r="AD144" s="121"/>
      <c r="AE144" s="121"/>
      <c r="AF144" s="121"/>
    </row>
    <row r="145" spans="1:32" s="26" customFormat="1" ht="79.5" customHeight="1">
      <c r="A145" s="440"/>
      <c r="B145" s="440"/>
      <c r="C145" s="440"/>
      <c r="D145" s="440"/>
      <c r="E145" s="440"/>
      <c r="F145" s="440"/>
      <c r="G145" s="440"/>
      <c r="H145" s="440"/>
      <c r="I145" s="444"/>
      <c r="J145" s="440"/>
      <c r="K145" s="440"/>
      <c r="L145" s="440"/>
      <c r="M145" s="440"/>
      <c r="N145" s="440"/>
      <c r="O145" s="261" t="s">
        <v>17</v>
      </c>
      <c r="P145" s="261" t="s">
        <v>18</v>
      </c>
      <c r="Q145" s="261" t="s">
        <v>19</v>
      </c>
      <c r="R145" s="440"/>
      <c r="S145" s="440"/>
      <c r="T145" s="440"/>
      <c r="U145" s="440"/>
      <c r="V145" s="440"/>
      <c r="W145" s="253"/>
      <c r="X145" s="44"/>
      <c r="Y145" s="121"/>
      <c r="Z145" s="121"/>
      <c r="AA145" s="121"/>
      <c r="AB145" s="121"/>
      <c r="AC145" s="121"/>
      <c r="AD145" s="121"/>
      <c r="AE145" s="121"/>
      <c r="AF145" s="121"/>
    </row>
    <row r="146" spans="1:32" s="26" customFormat="1" ht="97.5" customHeight="1">
      <c r="A146" s="261">
        <v>1</v>
      </c>
      <c r="B146" s="269"/>
      <c r="C146" s="270" t="s">
        <v>60</v>
      </c>
      <c r="D146" s="261" t="s">
        <v>51</v>
      </c>
      <c r="E146" s="272" t="s">
        <v>61</v>
      </c>
      <c r="F146" s="269" t="s">
        <v>62</v>
      </c>
      <c r="G146" s="271" t="s">
        <v>156</v>
      </c>
      <c r="H146" s="264" t="s">
        <v>25</v>
      </c>
      <c r="I146" s="271">
        <v>89016</v>
      </c>
      <c r="J146" s="265">
        <f>I146/72</f>
        <v>1236.33</v>
      </c>
      <c r="K146" s="266">
        <v>3</v>
      </c>
      <c r="L146" s="267">
        <f>J146*K146</f>
        <v>3709</v>
      </c>
      <c r="M146" s="261"/>
      <c r="N146" s="261"/>
      <c r="O146" s="261">
        <v>25</v>
      </c>
      <c r="P146" s="261">
        <v>1.2</v>
      </c>
      <c r="Q146" s="267">
        <f>17697*25%/72*P146</f>
        <v>74</v>
      </c>
      <c r="R146" s="267"/>
      <c r="S146" s="267"/>
      <c r="T146" s="267"/>
      <c r="U146" s="267">
        <f t="shared" ref="U146:U160" si="23">L146*10%</f>
        <v>371</v>
      </c>
      <c r="V146" s="267">
        <f t="shared" ref="V146:V160" si="24">M146+N146+Q146+R146+T146+U146+S146+L146</f>
        <v>4154</v>
      </c>
      <c r="W146" s="254"/>
      <c r="X146" s="44"/>
      <c r="Y146" s="121"/>
      <c r="Z146" s="121"/>
      <c r="AA146" s="121"/>
      <c r="AB146" s="121"/>
      <c r="AC146" s="121"/>
      <c r="AD146" s="121"/>
      <c r="AE146" s="121"/>
      <c r="AF146" s="121"/>
    </row>
    <row r="147" spans="1:32" s="26" customFormat="1" ht="45">
      <c r="A147" s="268">
        <v>2</v>
      </c>
      <c r="B147" s="263"/>
      <c r="C147" s="317" t="s">
        <v>28</v>
      </c>
      <c r="D147" s="261" t="s">
        <v>51</v>
      </c>
      <c r="E147" s="263" t="s">
        <v>29</v>
      </c>
      <c r="F147" s="263" t="s">
        <v>30</v>
      </c>
      <c r="G147" s="263" t="s">
        <v>134</v>
      </c>
      <c r="H147" s="264" t="s">
        <v>25</v>
      </c>
      <c r="I147" s="264">
        <v>85653</v>
      </c>
      <c r="J147" s="265">
        <f t="shared" ref="J147:J160" si="25">I147/72</f>
        <v>1189.6300000000001</v>
      </c>
      <c r="K147" s="265">
        <v>5</v>
      </c>
      <c r="L147" s="267">
        <f t="shared" ref="L147:L160" si="26">J147*K147</f>
        <v>5948</v>
      </c>
      <c r="M147" s="261"/>
      <c r="N147" s="261">
        <v>4424</v>
      </c>
      <c r="O147" s="318"/>
      <c r="P147" s="261"/>
      <c r="Q147" s="267">
        <f t="shared" ref="Q147:Q149" si="27">17697*25%/72*P147</f>
        <v>0</v>
      </c>
      <c r="R147" s="261"/>
      <c r="S147" s="261"/>
      <c r="T147" s="267"/>
      <c r="U147" s="267">
        <f t="shared" si="23"/>
        <v>595</v>
      </c>
      <c r="V147" s="267">
        <f t="shared" si="24"/>
        <v>10967</v>
      </c>
      <c r="W147" s="253"/>
      <c r="X147" s="44"/>
      <c r="Y147" s="121"/>
      <c r="Z147" s="121"/>
      <c r="AA147" s="121"/>
      <c r="AB147" s="121"/>
      <c r="AC147" s="121"/>
      <c r="AD147" s="121"/>
      <c r="AE147" s="121"/>
      <c r="AF147" s="121"/>
    </row>
    <row r="148" spans="1:32" s="26" customFormat="1" ht="87.75" customHeight="1">
      <c r="A148" s="261">
        <v>3</v>
      </c>
      <c r="B148" s="269"/>
      <c r="C148" s="270" t="s">
        <v>295</v>
      </c>
      <c r="D148" s="261" t="s">
        <v>51</v>
      </c>
      <c r="E148" s="269" t="s">
        <v>56</v>
      </c>
      <c r="F148" s="269" t="s">
        <v>57</v>
      </c>
      <c r="G148" s="269" t="s">
        <v>24</v>
      </c>
      <c r="H148" s="271" t="s">
        <v>25</v>
      </c>
      <c r="I148" s="264">
        <v>90609</v>
      </c>
      <c r="J148" s="265">
        <f t="shared" si="25"/>
        <v>1258.46</v>
      </c>
      <c r="K148" s="265">
        <f>5+4.8</f>
        <v>9.8000000000000007</v>
      </c>
      <c r="L148" s="267">
        <f t="shared" si="26"/>
        <v>12333</v>
      </c>
      <c r="M148" s="261"/>
      <c r="N148" s="261"/>
      <c r="O148" s="261">
        <v>25</v>
      </c>
      <c r="P148" s="261">
        <v>3</v>
      </c>
      <c r="Q148" s="267">
        <f t="shared" si="27"/>
        <v>184</v>
      </c>
      <c r="R148" s="261"/>
      <c r="S148" s="261"/>
      <c r="T148" s="267"/>
      <c r="U148" s="267">
        <f t="shared" si="23"/>
        <v>1233</v>
      </c>
      <c r="V148" s="267">
        <f t="shared" si="24"/>
        <v>13750</v>
      </c>
      <c r="W148" s="253"/>
      <c r="X148" s="44"/>
      <c r="Y148" s="121"/>
      <c r="Z148" s="121"/>
      <c r="AA148" s="121"/>
      <c r="AB148" s="121"/>
      <c r="AC148" s="121"/>
      <c r="AD148" s="121"/>
      <c r="AE148" s="121"/>
      <c r="AF148" s="121"/>
    </row>
    <row r="149" spans="1:32" s="26" customFormat="1" ht="60">
      <c r="A149" s="268">
        <v>4</v>
      </c>
      <c r="B149" s="269"/>
      <c r="C149" s="270" t="s">
        <v>293</v>
      </c>
      <c r="D149" s="261" t="s">
        <v>51</v>
      </c>
      <c r="E149" s="269" t="s">
        <v>94</v>
      </c>
      <c r="F149" s="269" t="s">
        <v>95</v>
      </c>
      <c r="G149" s="271" t="s">
        <v>164</v>
      </c>
      <c r="H149" s="271" t="s">
        <v>25</v>
      </c>
      <c r="I149" s="271">
        <v>93971</v>
      </c>
      <c r="J149" s="265">
        <f t="shared" si="25"/>
        <v>1305.1500000000001</v>
      </c>
      <c r="K149" s="265">
        <v>5</v>
      </c>
      <c r="L149" s="267">
        <f t="shared" si="26"/>
        <v>6526</v>
      </c>
      <c r="M149" s="261"/>
      <c r="N149" s="261"/>
      <c r="O149" s="261">
        <v>25</v>
      </c>
      <c r="P149" s="261">
        <v>3</v>
      </c>
      <c r="Q149" s="267">
        <f t="shared" si="27"/>
        <v>184</v>
      </c>
      <c r="R149" s="261"/>
      <c r="S149" s="261"/>
      <c r="T149" s="267"/>
      <c r="U149" s="267">
        <f t="shared" si="23"/>
        <v>653</v>
      </c>
      <c r="V149" s="267">
        <f t="shared" si="24"/>
        <v>7363</v>
      </c>
      <c r="W149" s="253"/>
      <c r="X149" s="44"/>
      <c r="Y149" s="121"/>
      <c r="Z149" s="121"/>
      <c r="AA149" s="121"/>
      <c r="AB149" s="121"/>
      <c r="AC149" s="121"/>
      <c r="AD149" s="121"/>
      <c r="AE149" s="121"/>
      <c r="AF149" s="121"/>
    </row>
    <row r="150" spans="1:32" s="26" customFormat="1" ht="60">
      <c r="A150" s="261">
        <v>5</v>
      </c>
      <c r="B150" s="269"/>
      <c r="C150" s="275" t="s">
        <v>294</v>
      </c>
      <c r="D150" s="261" t="s">
        <v>51</v>
      </c>
      <c r="E150" s="272" t="s">
        <v>75</v>
      </c>
      <c r="F150" s="269" t="s">
        <v>76</v>
      </c>
      <c r="G150" s="269" t="s">
        <v>152</v>
      </c>
      <c r="H150" s="264" t="s">
        <v>25</v>
      </c>
      <c r="I150" s="271">
        <v>90609</v>
      </c>
      <c r="J150" s="265">
        <f t="shared" si="25"/>
        <v>1258.46</v>
      </c>
      <c r="K150" s="265">
        <v>10</v>
      </c>
      <c r="L150" s="267">
        <f t="shared" si="26"/>
        <v>12585</v>
      </c>
      <c r="M150" s="261"/>
      <c r="N150" s="261"/>
      <c r="O150" s="261">
        <v>20</v>
      </c>
      <c r="P150" s="261">
        <v>4</v>
      </c>
      <c r="Q150" s="267">
        <f>17697*20%/72*P150</f>
        <v>197</v>
      </c>
      <c r="R150" s="261"/>
      <c r="S150" s="261"/>
      <c r="T150" s="267"/>
      <c r="U150" s="267">
        <f t="shared" si="23"/>
        <v>1259</v>
      </c>
      <c r="V150" s="267">
        <f t="shared" si="24"/>
        <v>14041</v>
      </c>
      <c r="W150" s="253"/>
      <c r="X150" s="44"/>
      <c r="Y150" s="121"/>
      <c r="Z150" s="121"/>
      <c r="AA150" s="121"/>
      <c r="AB150" s="121"/>
      <c r="AC150" s="121"/>
      <c r="AD150" s="121"/>
      <c r="AE150" s="121"/>
      <c r="AF150" s="121"/>
    </row>
    <row r="151" spans="1:32" s="26" customFormat="1" ht="45">
      <c r="A151" s="268">
        <v>6</v>
      </c>
      <c r="B151" s="275"/>
      <c r="C151" s="270" t="s">
        <v>296</v>
      </c>
      <c r="D151" s="261" t="s">
        <v>51</v>
      </c>
      <c r="E151" s="275" t="s">
        <v>237</v>
      </c>
      <c r="F151" s="275" t="s">
        <v>238</v>
      </c>
      <c r="G151" s="276" t="s">
        <v>32</v>
      </c>
      <c r="H151" s="264" t="s">
        <v>42</v>
      </c>
      <c r="I151" s="276">
        <v>82468</v>
      </c>
      <c r="J151" s="265">
        <f t="shared" si="25"/>
        <v>1145.3900000000001</v>
      </c>
      <c r="K151" s="265">
        <v>11.2</v>
      </c>
      <c r="L151" s="267">
        <f t="shared" si="26"/>
        <v>12828</v>
      </c>
      <c r="M151" s="261"/>
      <c r="N151" s="261"/>
      <c r="O151" s="261"/>
      <c r="P151" s="261"/>
      <c r="Q151" s="267">
        <f t="shared" ref="Q151:Q158" si="28">17697*20%/72*P151</f>
        <v>0</v>
      </c>
      <c r="R151" s="261"/>
      <c r="S151" s="261"/>
      <c r="T151" s="267"/>
      <c r="U151" s="267">
        <f t="shared" si="23"/>
        <v>1283</v>
      </c>
      <c r="V151" s="267">
        <f t="shared" si="24"/>
        <v>14111</v>
      </c>
      <c r="W151" s="253"/>
      <c r="X151" s="44"/>
      <c r="Y151" s="121"/>
      <c r="Z151" s="121"/>
      <c r="AA151" s="121"/>
      <c r="AB151" s="121"/>
      <c r="AC151" s="121"/>
      <c r="AD151" s="121"/>
      <c r="AE151" s="121"/>
      <c r="AF151" s="121"/>
    </row>
    <row r="152" spans="1:32" s="26" customFormat="1" ht="39.75" customHeight="1">
      <c r="A152" s="261">
        <v>7</v>
      </c>
      <c r="B152" s="272"/>
      <c r="C152" s="270" t="s">
        <v>255</v>
      </c>
      <c r="D152" s="261" t="s">
        <v>51</v>
      </c>
      <c r="E152" s="269" t="s">
        <v>132</v>
      </c>
      <c r="F152" s="269" t="s">
        <v>133</v>
      </c>
      <c r="G152" s="269" t="s">
        <v>175</v>
      </c>
      <c r="H152" s="264" t="s">
        <v>42</v>
      </c>
      <c r="I152" s="271">
        <v>85653</v>
      </c>
      <c r="J152" s="265">
        <f t="shared" si="25"/>
        <v>1189.6300000000001</v>
      </c>
      <c r="K152" s="265">
        <v>11.2</v>
      </c>
      <c r="L152" s="267">
        <f t="shared" si="26"/>
        <v>13324</v>
      </c>
      <c r="M152" s="261"/>
      <c r="N152" s="261"/>
      <c r="O152" s="261"/>
      <c r="P152" s="261"/>
      <c r="Q152" s="267">
        <f t="shared" si="28"/>
        <v>0</v>
      </c>
      <c r="R152" s="261"/>
      <c r="S152" s="261"/>
      <c r="T152" s="267"/>
      <c r="U152" s="267">
        <f t="shared" si="23"/>
        <v>1332</v>
      </c>
      <c r="V152" s="267">
        <f t="shared" si="24"/>
        <v>14656</v>
      </c>
      <c r="W152" s="253"/>
      <c r="X152" s="44"/>
      <c r="Y152" s="121"/>
      <c r="Z152" s="121"/>
      <c r="AA152" s="121"/>
      <c r="AB152" s="121"/>
      <c r="AC152" s="121"/>
      <c r="AD152" s="121"/>
      <c r="AE152" s="121"/>
      <c r="AF152" s="121"/>
    </row>
    <row r="153" spans="1:32" s="26" customFormat="1" ht="110.25" customHeight="1">
      <c r="A153" s="268">
        <v>8</v>
      </c>
      <c r="B153" s="272"/>
      <c r="C153" s="270" t="s">
        <v>299</v>
      </c>
      <c r="D153" s="261" t="s">
        <v>51</v>
      </c>
      <c r="E153" s="269" t="s">
        <v>80</v>
      </c>
      <c r="F153" s="269" t="s">
        <v>130</v>
      </c>
      <c r="G153" s="269" t="s">
        <v>174</v>
      </c>
      <c r="H153" s="264" t="s">
        <v>25</v>
      </c>
      <c r="I153" s="271">
        <v>89016</v>
      </c>
      <c r="J153" s="265">
        <f t="shared" si="25"/>
        <v>1236.33</v>
      </c>
      <c r="K153" s="299">
        <f>13+2.4</f>
        <v>15.4</v>
      </c>
      <c r="L153" s="267">
        <f t="shared" si="26"/>
        <v>19039</v>
      </c>
      <c r="M153" s="261"/>
      <c r="N153" s="261"/>
      <c r="O153" s="261"/>
      <c r="P153" s="261"/>
      <c r="Q153" s="267">
        <f t="shared" si="28"/>
        <v>0</v>
      </c>
      <c r="R153" s="261"/>
      <c r="S153" s="261"/>
      <c r="T153" s="267"/>
      <c r="U153" s="267">
        <f t="shared" si="23"/>
        <v>1904</v>
      </c>
      <c r="V153" s="267">
        <f t="shared" si="24"/>
        <v>20943</v>
      </c>
      <c r="W153" s="253"/>
      <c r="X153" s="44"/>
      <c r="Y153" s="121"/>
      <c r="Z153" s="121"/>
      <c r="AA153" s="121"/>
      <c r="AB153" s="121"/>
      <c r="AC153" s="121"/>
      <c r="AD153" s="121"/>
      <c r="AE153" s="121"/>
      <c r="AF153" s="121"/>
    </row>
    <row r="154" spans="1:32" s="26" customFormat="1" ht="177" customHeight="1">
      <c r="A154" s="261">
        <v>9</v>
      </c>
      <c r="B154" s="269"/>
      <c r="C154" s="269" t="s">
        <v>522</v>
      </c>
      <c r="D154" s="261" t="s">
        <v>51</v>
      </c>
      <c r="E154" s="269" t="s">
        <v>26</v>
      </c>
      <c r="F154" s="269" t="s">
        <v>83</v>
      </c>
      <c r="G154" s="269" t="s">
        <v>160</v>
      </c>
      <c r="H154" s="271" t="s">
        <v>25</v>
      </c>
      <c r="I154" s="271">
        <v>89016</v>
      </c>
      <c r="J154" s="265">
        <f t="shared" si="25"/>
        <v>1236.33</v>
      </c>
      <c r="K154" s="266">
        <f>3.8+8.8+8.8+6.8</f>
        <v>28.2</v>
      </c>
      <c r="L154" s="300">
        <f t="shared" si="26"/>
        <v>34865</v>
      </c>
      <c r="M154" s="288">
        <v>4424</v>
      </c>
      <c r="N154" s="288"/>
      <c r="O154" s="288"/>
      <c r="P154" s="261"/>
      <c r="Q154" s="300">
        <f t="shared" si="28"/>
        <v>0</v>
      </c>
      <c r="R154" s="288"/>
      <c r="S154" s="288"/>
      <c r="T154" s="300"/>
      <c r="U154" s="267">
        <f t="shared" si="23"/>
        <v>3487</v>
      </c>
      <c r="V154" s="267">
        <f t="shared" si="24"/>
        <v>42776</v>
      </c>
      <c r="W154" s="253"/>
      <c r="X154" s="44"/>
      <c r="Y154" s="121"/>
      <c r="Z154" s="121"/>
      <c r="AA154" s="121"/>
      <c r="AB154" s="121"/>
      <c r="AC154" s="121"/>
      <c r="AD154" s="121"/>
      <c r="AE154" s="121"/>
      <c r="AF154" s="121"/>
    </row>
    <row r="155" spans="1:32" s="26" customFormat="1" ht="86.25" customHeight="1">
      <c r="A155" s="268">
        <v>10</v>
      </c>
      <c r="B155" s="275"/>
      <c r="C155" s="270" t="s">
        <v>297</v>
      </c>
      <c r="D155" s="261" t="s">
        <v>51</v>
      </c>
      <c r="E155" s="276" t="s">
        <v>38</v>
      </c>
      <c r="F155" s="275" t="s">
        <v>109</v>
      </c>
      <c r="G155" s="276" t="s">
        <v>168</v>
      </c>
      <c r="H155" s="271" t="s">
        <v>25</v>
      </c>
      <c r="I155" s="319">
        <v>92201</v>
      </c>
      <c r="J155" s="302">
        <f t="shared" si="25"/>
        <v>1280.57</v>
      </c>
      <c r="K155" s="266">
        <f>6+4.4</f>
        <v>10.4</v>
      </c>
      <c r="L155" s="267">
        <f t="shared" si="26"/>
        <v>13318</v>
      </c>
      <c r="M155" s="261"/>
      <c r="N155" s="261"/>
      <c r="O155" s="261"/>
      <c r="P155" s="261"/>
      <c r="Q155" s="267">
        <f t="shared" si="28"/>
        <v>0</v>
      </c>
      <c r="R155" s="261"/>
      <c r="S155" s="261"/>
      <c r="T155" s="267"/>
      <c r="U155" s="267">
        <f t="shared" si="23"/>
        <v>1332</v>
      </c>
      <c r="V155" s="267">
        <f t="shared" si="24"/>
        <v>14650</v>
      </c>
      <c r="W155" s="253"/>
      <c r="X155" s="44"/>
      <c r="Y155" s="121"/>
      <c r="Z155" s="121"/>
      <c r="AA155" s="121"/>
      <c r="AB155" s="121"/>
      <c r="AC155" s="121"/>
      <c r="AD155" s="121"/>
      <c r="AE155" s="121"/>
      <c r="AF155" s="121"/>
    </row>
    <row r="156" spans="1:32" s="26" customFormat="1" ht="121.5" customHeight="1">
      <c r="A156" s="261">
        <v>11</v>
      </c>
      <c r="B156" s="263"/>
      <c r="C156" s="274" t="s">
        <v>445</v>
      </c>
      <c r="D156" s="261" t="s">
        <v>51</v>
      </c>
      <c r="E156" s="275" t="s">
        <v>22</v>
      </c>
      <c r="F156" s="275" t="s">
        <v>23</v>
      </c>
      <c r="G156" s="263" t="s">
        <v>99</v>
      </c>
      <c r="H156" s="264" t="s">
        <v>25</v>
      </c>
      <c r="I156" s="264">
        <v>92201</v>
      </c>
      <c r="J156" s="265">
        <f t="shared" si="25"/>
        <v>1280.57</v>
      </c>
      <c r="K156" s="266">
        <v>8</v>
      </c>
      <c r="L156" s="267">
        <f t="shared" si="26"/>
        <v>10245</v>
      </c>
      <c r="M156" s="261"/>
      <c r="N156" s="261"/>
      <c r="O156" s="261"/>
      <c r="P156" s="261"/>
      <c r="Q156" s="267">
        <f t="shared" si="28"/>
        <v>0</v>
      </c>
      <c r="R156" s="261"/>
      <c r="S156" s="261"/>
      <c r="T156" s="267"/>
      <c r="U156" s="267">
        <f t="shared" si="23"/>
        <v>1025</v>
      </c>
      <c r="V156" s="267">
        <f t="shared" si="24"/>
        <v>11270</v>
      </c>
      <c r="W156" s="253"/>
      <c r="X156" s="44"/>
      <c r="Y156" s="121"/>
      <c r="Z156" s="121"/>
      <c r="AA156" s="121"/>
      <c r="AB156" s="121"/>
      <c r="AC156" s="121"/>
      <c r="AD156" s="121"/>
      <c r="AE156" s="121"/>
      <c r="AF156" s="121"/>
    </row>
    <row r="157" spans="1:32" s="26" customFormat="1" ht="70.5" customHeight="1">
      <c r="A157" s="268">
        <v>12</v>
      </c>
      <c r="B157" s="277"/>
      <c r="C157" s="278" t="s">
        <v>300</v>
      </c>
      <c r="D157" s="261" t="s">
        <v>51</v>
      </c>
      <c r="E157" s="277" t="s">
        <v>26</v>
      </c>
      <c r="F157" s="277" t="s">
        <v>48</v>
      </c>
      <c r="G157" s="277" t="s">
        <v>145</v>
      </c>
      <c r="H157" s="279" t="s">
        <v>25</v>
      </c>
      <c r="I157" s="279">
        <v>85653</v>
      </c>
      <c r="J157" s="299">
        <f t="shared" si="25"/>
        <v>1189.6300000000001</v>
      </c>
      <c r="K157" s="266">
        <v>4.4000000000000004</v>
      </c>
      <c r="L157" s="267">
        <f t="shared" si="26"/>
        <v>5234</v>
      </c>
      <c r="M157" s="261"/>
      <c r="N157" s="261"/>
      <c r="O157" s="261"/>
      <c r="P157" s="261"/>
      <c r="Q157" s="267">
        <f t="shared" si="28"/>
        <v>0</v>
      </c>
      <c r="R157" s="261"/>
      <c r="S157" s="261"/>
      <c r="T157" s="267"/>
      <c r="U157" s="267">
        <f t="shared" si="23"/>
        <v>523</v>
      </c>
      <c r="V157" s="267">
        <f t="shared" si="24"/>
        <v>5757</v>
      </c>
      <c r="W157" s="253"/>
      <c r="X157" s="44"/>
      <c r="Y157" s="121"/>
      <c r="Z157" s="121"/>
      <c r="AA157" s="121"/>
      <c r="AB157" s="121"/>
      <c r="AC157" s="121"/>
      <c r="AD157" s="121"/>
      <c r="AE157" s="121"/>
      <c r="AF157" s="121"/>
    </row>
    <row r="158" spans="1:32" s="26" customFormat="1" ht="49.5" customHeight="1">
      <c r="A158" s="261">
        <v>13</v>
      </c>
      <c r="B158" s="275"/>
      <c r="C158" s="275" t="s">
        <v>355</v>
      </c>
      <c r="D158" s="261" t="s">
        <v>51</v>
      </c>
      <c r="E158" s="275" t="s">
        <v>31</v>
      </c>
      <c r="F158" s="275" t="s">
        <v>242</v>
      </c>
      <c r="G158" s="269" t="s">
        <v>145</v>
      </c>
      <c r="H158" s="271" t="s">
        <v>25</v>
      </c>
      <c r="I158" s="271">
        <v>85653</v>
      </c>
      <c r="J158" s="265">
        <f t="shared" si="25"/>
        <v>1189.6300000000001</v>
      </c>
      <c r="K158" s="265">
        <v>3.4</v>
      </c>
      <c r="L158" s="267">
        <f t="shared" si="26"/>
        <v>4045</v>
      </c>
      <c r="M158" s="261"/>
      <c r="N158" s="261"/>
      <c r="O158" s="261"/>
      <c r="P158" s="261"/>
      <c r="Q158" s="267">
        <f t="shared" si="28"/>
        <v>0</v>
      </c>
      <c r="R158" s="261"/>
      <c r="S158" s="261"/>
      <c r="T158" s="267"/>
      <c r="U158" s="267">
        <f t="shared" si="23"/>
        <v>405</v>
      </c>
      <c r="V158" s="267">
        <f t="shared" si="24"/>
        <v>4450</v>
      </c>
      <c r="W158" s="253"/>
      <c r="X158" s="44"/>
      <c r="Y158" s="121"/>
      <c r="Z158" s="121"/>
      <c r="AA158" s="121"/>
      <c r="AB158" s="121"/>
      <c r="AC158" s="121"/>
      <c r="AD158" s="121"/>
      <c r="AE158" s="121"/>
      <c r="AF158" s="121"/>
    </row>
    <row r="159" spans="1:32" s="26" customFormat="1" ht="49.5" customHeight="1">
      <c r="A159" s="268">
        <v>14</v>
      </c>
      <c r="B159" s="275"/>
      <c r="C159" s="270" t="s">
        <v>347</v>
      </c>
      <c r="D159" s="261" t="s">
        <v>51</v>
      </c>
      <c r="E159" s="262" t="s">
        <v>232</v>
      </c>
      <c r="F159" s="275" t="s">
        <v>233</v>
      </c>
      <c r="G159" s="276" t="s">
        <v>180</v>
      </c>
      <c r="H159" s="264" t="s">
        <v>42</v>
      </c>
      <c r="I159" s="276">
        <v>90609</v>
      </c>
      <c r="J159" s="265">
        <f t="shared" si="25"/>
        <v>1258.46</v>
      </c>
      <c r="K159" s="265">
        <v>3.6</v>
      </c>
      <c r="L159" s="267">
        <f t="shared" si="26"/>
        <v>4530</v>
      </c>
      <c r="M159" s="261"/>
      <c r="N159" s="261"/>
      <c r="O159" s="261"/>
      <c r="P159" s="261"/>
      <c r="Q159" s="267">
        <f>17697*25%/72*P159</f>
        <v>0</v>
      </c>
      <c r="R159" s="261"/>
      <c r="S159" s="261"/>
      <c r="T159" s="267"/>
      <c r="U159" s="267">
        <f t="shared" si="23"/>
        <v>453</v>
      </c>
      <c r="V159" s="267">
        <f t="shared" si="24"/>
        <v>4983</v>
      </c>
      <c r="W159" s="253"/>
      <c r="X159" s="44"/>
      <c r="Y159" s="121"/>
      <c r="Z159" s="121"/>
      <c r="AA159" s="121"/>
      <c r="AB159" s="121"/>
      <c r="AC159" s="121"/>
      <c r="AD159" s="121"/>
      <c r="AE159" s="121"/>
      <c r="AF159" s="121"/>
    </row>
    <row r="160" spans="1:32" s="26" customFormat="1" ht="30">
      <c r="A160" s="261">
        <v>15</v>
      </c>
      <c r="B160" s="275"/>
      <c r="C160" s="286" t="s">
        <v>302</v>
      </c>
      <c r="D160" s="261" t="s">
        <v>51</v>
      </c>
      <c r="E160" s="287"/>
      <c r="F160" s="287"/>
      <c r="G160" s="276" t="s">
        <v>50</v>
      </c>
      <c r="H160" s="271" t="s">
        <v>42</v>
      </c>
      <c r="I160" s="271">
        <v>85653</v>
      </c>
      <c r="J160" s="265">
        <f t="shared" si="25"/>
        <v>1189.6300000000001</v>
      </c>
      <c r="K160" s="304">
        <f>3.6+1.8+10+32.8</f>
        <v>48.2</v>
      </c>
      <c r="L160" s="267">
        <f t="shared" si="26"/>
        <v>57340</v>
      </c>
      <c r="M160" s="304"/>
      <c r="N160" s="304"/>
      <c r="O160" s="304"/>
      <c r="P160" s="304"/>
      <c r="Q160" s="305"/>
      <c r="R160" s="304"/>
      <c r="S160" s="304"/>
      <c r="T160" s="305"/>
      <c r="U160" s="267">
        <f t="shared" si="23"/>
        <v>5734</v>
      </c>
      <c r="V160" s="267">
        <f t="shared" si="24"/>
        <v>63074</v>
      </c>
      <c r="W160" s="253"/>
      <c r="X160" s="44"/>
      <c r="Y160" s="121"/>
      <c r="Z160" s="121"/>
      <c r="AA160" s="121"/>
      <c r="AB160" s="121"/>
      <c r="AC160" s="121"/>
      <c r="AD160" s="121"/>
      <c r="AE160" s="121"/>
      <c r="AF160" s="121"/>
    </row>
    <row r="161" spans="1:32" s="26" customFormat="1" ht="15" customHeight="1">
      <c r="A161" s="261"/>
      <c r="B161" s="261" t="s">
        <v>8</v>
      </c>
      <c r="C161" s="261"/>
      <c r="D161" s="261"/>
      <c r="E161" s="261"/>
      <c r="F161" s="261"/>
      <c r="G161" s="261"/>
      <c r="H161" s="261"/>
      <c r="I161" s="261"/>
      <c r="J161" s="265"/>
      <c r="K161" s="265">
        <f>SUM(K146:K160)</f>
        <v>176.8</v>
      </c>
      <c r="L161" s="265">
        <f t="shared" ref="L161:V161" si="29">SUM(L146:L160)</f>
        <v>215869</v>
      </c>
      <c r="M161" s="265">
        <f t="shared" si="29"/>
        <v>4424</v>
      </c>
      <c r="N161" s="265">
        <f t="shared" si="29"/>
        <v>4424</v>
      </c>
      <c r="O161" s="265"/>
      <c r="P161" s="265">
        <f t="shared" si="29"/>
        <v>11.2</v>
      </c>
      <c r="Q161" s="265">
        <f t="shared" si="29"/>
        <v>639</v>
      </c>
      <c r="R161" s="265">
        <f t="shared" si="29"/>
        <v>0</v>
      </c>
      <c r="S161" s="265">
        <f t="shared" si="29"/>
        <v>0</v>
      </c>
      <c r="T161" s="265">
        <f t="shared" si="29"/>
        <v>0</v>
      </c>
      <c r="U161" s="265">
        <f t="shared" si="29"/>
        <v>21589</v>
      </c>
      <c r="V161" s="265">
        <f t="shared" si="29"/>
        <v>246945</v>
      </c>
      <c r="W161" s="253"/>
      <c r="X161" s="44"/>
      <c r="Y161" s="121"/>
      <c r="Z161" s="121"/>
      <c r="AA161" s="121"/>
      <c r="AB161" s="121"/>
      <c r="AC161" s="121"/>
      <c r="AD161" s="121"/>
      <c r="AE161" s="121"/>
      <c r="AF161" s="121"/>
    </row>
    <row r="162" spans="1:32" s="26" customFormat="1" ht="46.5" customHeight="1">
      <c r="A162" s="296"/>
      <c r="B162" s="296"/>
      <c r="C162" s="296"/>
      <c r="D162" s="296"/>
      <c r="E162" s="296"/>
      <c r="F162" s="296"/>
      <c r="G162" s="296"/>
      <c r="H162" s="296"/>
      <c r="I162" s="296"/>
      <c r="J162" s="296"/>
      <c r="K162" s="298"/>
      <c r="L162" s="296"/>
      <c r="M162" s="296"/>
      <c r="N162" s="290" t="s">
        <v>213</v>
      </c>
      <c r="O162" s="290"/>
      <c r="P162" s="290"/>
      <c r="Q162" s="290"/>
      <c r="R162" s="291"/>
      <c r="S162" s="291"/>
      <c r="T162" s="296"/>
      <c r="U162" s="296"/>
      <c r="V162" s="296"/>
      <c r="W162" s="253"/>
      <c r="X162" s="44"/>
      <c r="Y162" s="121"/>
      <c r="Z162" s="121"/>
      <c r="AA162" s="121"/>
      <c r="AB162" s="121"/>
      <c r="AC162" s="121"/>
      <c r="AD162" s="121"/>
      <c r="AE162" s="121"/>
      <c r="AF162" s="121"/>
    </row>
    <row r="163" spans="1:32" s="26" customFormat="1" ht="15.75">
      <c r="A163" s="295" t="s">
        <v>0</v>
      </c>
      <c r="B163" s="295"/>
      <c r="C163" s="295"/>
      <c r="D163" s="295"/>
      <c r="E163" s="296"/>
      <c r="F163" s="296"/>
      <c r="G163" s="296"/>
      <c r="H163" s="296"/>
      <c r="I163" s="296"/>
      <c r="J163" s="296"/>
      <c r="K163" s="296"/>
      <c r="L163" s="296"/>
      <c r="M163" s="296"/>
      <c r="N163" s="257" t="s">
        <v>1</v>
      </c>
      <c r="O163" s="257"/>
      <c r="P163" s="257"/>
      <c r="Q163" s="257"/>
      <c r="R163" s="257"/>
      <c r="S163" s="257"/>
      <c r="T163" s="257"/>
      <c r="U163" s="258"/>
      <c r="V163" s="258"/>
      <c r="W163" s="253"/>
      <c r="X163" s="44"/>
      <c r="Y163" s="121"/>
      <c r="Z163" s="121"/>
      <c r="AA163" s="121"/>
      <c r="AB163" s="121"/>
      <c r="AC163" s="121"/>
      <c r="AD163" s="121"/>
      <c r="AE163" s="121"/>
      <c r="AF163" s="121"/>
    </row>
    <row r="164" spans="1:32" s="26" customFormat="1" ht="15.75">
      <c r="A164" s="295" t="s">
        <v>2</v>
      </c>
      <c r="B164" s="295"/>
      <c r="C164" s="295"/>
      <c r="D164" s="295"/>
      <c r="E164" s="296"/>
      <c r="F164" s="296"/>
      <c r="G164" s="296"/>
      <c r="H164" s="296"/>
      <c r="I164" s="296"/>
      <c r="J164" s="296"/>
      <c r="K164" s="296"/>
      <c r="L164" s="296"/>
      <c r="M164" s="296"/>
      <c r="N164" s="257" t="s">
        <v>3</v>
      </c>
      <c r="O164" s="257"/>
      <c r="P164" s="257"/>
      <c r="Q164" s="257"/>
      <c r="R164" s="257"/>
      <c r="S164" s="257"/>
      <c r="T164" s="257"/>
      <c r="U164" s="258"/>
      <c r="V164" s="258"/>
      <c r="W164" s="253"/>
      <c r="X164" s="44"/>
      <c r="Y164" s="121"/>
      <c r="Z164" s="121"/>
      <c r="AA164" s="121"/>
      <c r="AB164" s="121"/>
      <c r="AC164" s="121"/>
      <c r="AD164" s="121"/>
      <c r="AE164" s="121"/>
      <c r="AF164" s="121"/>
    </row>
    <row r="165" spans="1:32" s="26" customFormat="1" ht="15.75">
      <c r="A165" s="295"/>
      <c r="B165" s="295"/>
      <c r="C165" s="295"/>
      <c r="D165" s="295"/>
      <c r="E165" s="296"/>
      <c r="F165" s="296"/>
      <c r="G165" s="296"/>
      <c r="H165" s="296"/>
      <c r="I165" s="296"/>
      <c r="J165" s="296"/>
      <c r="K165" s="296"/>
      <c r="L165" s="296"/>
      <c r="M165" s="296"/>
      <c r="N165" s="256" t="s">
        <v>4</v>
      </c>
      <c r="O165" s="256"/>
      <c r="P165" s="256"/>
      <c r="Q165" s="256"/>
      <c r="R165" s="256"/>
      <c r="S165" s="256"/>
      <c r="T165" s="256"/>
      <c r="U165" s="258"/>
      <c r="V165" s="258"/>
      <c r="W165" s="253"/>
      <c r="X165" s="44"/>
      <c r="Y165" s="121"/>
      <c r="Z165" s="121"/>
      <c r="AA165" s="121"/>
      <c r="AB165" s="121"/>
      <c r="AC165" s="121"/>
      <c r="AD165" s="121"/>
      <c r="AE165" s="121"/>
      <c r="AF165" s="121"/>
    </row>
    <row r="166" spans="1:32" s="26" customFormat="1" ht="15.75">
      <c r="A166" s="295" t="s">
        <v>5</v>
      </c>
      <c r="B166" s="295"/>
      <c r="C166" s="295" t="s">
        <v>6</v>
      </c>
      <c r="D166" s="295"/>
      <c r="E166" s="445" t="s">
        <v>183</v>
      </c>
      <c r="F166" s="445"/>
      <c r="G166" s="445"/>
      <c r="H166" s="445"/>
      <c r="I166" s="445"/>
      <c r="J166" s="445"/>
      <c r="K166" s="445"/>
      <c r="L166" s="445"/>
      <c r="M166" s="258"/>
      <c r="N166" s="257" t="s">
        <v>139</v>
      </c>
      <c r="O166" s="257"/>
      <c r="P166" s="257"/>
      <c r="Q166" s="257"/>
      <c r="R166" s="257"/>
      <c r="S166" s="257"/>
      <c r="T166" s="257"/>
      <c r="U166" s="258"/>
      <c r="V166" s="258"/>
      <c r="W166" s="253"/>
      <c r="X166" s="44"/>
      <c r="Y166" s="121"/>
      <c r="Z166" s="121"/>
      <c r="AA166" s="121"/>
      <c r="AB166" s="121"/>
      <c r="AC166" s="121"/>
      <c r="AD166" s="121"/>
      <c r="AE166" s="121"/>
      <c r="AF166" s="121"/>
    </row>
    <row r="167" spans="1:32" s="26" customFormat="1" ht="15.75">
      <c r="A167" s="295"/>
      <c r="B167" s="295"/>
      <c r="C167" s="295"/>
      <c r="D167" s="295"/>
      <c r="E167" s="446" t="s">
        <v>184</v>
      </c>
      <c r="F167" s="446"/>
      <c r="G167" s="446"/>
      <c r="H167" s="446"/>
      <c r="I167" s="446"/>
      <c r="J167" s="446"/>
      <c r="K167" s="446"/>
      <c r="L167" s="446"/>
      <c r="M167" s="446"/>
      <c r="N167" s="296"/>
      <c r="O167" s="296"/>
      <c r="P167" s="296"/>
      <c r="Q167" s="296"/>
      <c r="R167" s="296"/>
      <c r="S167" s="296"/>
      <c r="T167" s="296"/>
      <c r="U167" s="296"/>
      <c r="V167" s="296"/>
      <c r="W167" s="253"/>
      <c r="X167" s="44"/>
      <c r="Y167" s="121"/>
      <c r="Z167" s="121"/>
      <c r="AA167" s="121"/>
      <c r="AB167" s="121"/>
      <c r="AC167" s="121"/>
      <c r="AD167" s="121"/>
      <c r="AE167" s="121"/>
      <c r="AF167" s="121"/>
    </row>
    <row r="168" spans="1:32" s="26" customFormat="1" ht="15.75">
      <c r="A168" s="296"/>
      <c r="B168" s="296"/>
      <c r="C168" s="296"/>
      <c r="D168" s="296"/>
      <c r="E168" s="447" t="s">
        <v>219</v>
      </c>
      <c r="F168" s="447"/>
      <c r="G168" s="447"/>
      <c r="H168" s="447"/>
      <c r="I168" s="447"/>
      <c r="J168" s="447"/>
      <c r="K168" s="447"/>
      <c r="L168" s="447"/>
      <c r="M168" s="447"/>
      <c r="N168" s="296"/>
      <c r="O168" s="296"/>
      <c r="P168" s="296"/>
      <c r="Q168" s="296"/>
      <c r="R168" s="296"/>
      <c r="S168" s="296"/>
      <c r="T168" s="296"/>
      <c r="U168" s="296"/>
      <c r="V168" s="296"/>
      <c r="W168" s="253"/>
      <c r="X168" s="44"/>
      <c r="Y168" s="121"/>
      <c r="Z168" s="121"/>
      <c r="AA168" s="121"/>
      <c r="AB168" s="121"/>
      <c r="AC168" s="121"/>
      <c r="AD168" s="121"/>
      <c r="AE168" s="121"/>
      <c r="AF168" s="121"/>
    </row>
    <row r="169" spans="1:32" s="26" customFormat="1" ht="15.75">
      <c r="A169" s="296"/>
      <c r="B169" s="296"/>
      <c r="C169" s="296"/>
      <c r="D169" s="296"/>
      <c r="E169" s="447" t="s">
        <v>7</v>
      </c>
      <c r="F169" s="447"/>
      <c r="G169" s="447"/>
      <c r="H169" s="447"/>
      <c r="I169" s="447"/>
      <c r="J169" s="447"/>
      <c r="K169" s="447"/>
      <c r="L169" s="447"/>
      <c r="M169" s="447"/>
      <c r="N169" s="296"/>
      <c r="O169" s="296"/>
      <c r="P169" s="296"/>
      <c r="Q169" s="296"/>
      <c r="R169" s="296"/>
      <c r="S169" s="296"/>
      <c r="T169" s="296"/>
      <c r="U169" s="296"/>
      <c r="V169" s="296"/>
      <c r="W169" s="253"/>
      <c r="X169" s="44"/>
      <c r="Y169" s="121"/>
      <c r="Z169" s="121"/>
      <c r="AA169" s="121"/>
      <c r="AB169" s="121"/>
      <c r="AC169" s="121"/>
      <c r="AD169" s="121"/>
      <c r="AE169" s="121"/>
      <c r="AF169" s="121"/>
    </row>
    <row r="170" spans="1:32" s="26" customFormat="1" ht="15.75">
      <c r="A170" s="296"/>
      <c r="B170" s="296"/>
      <c r="C170" s="296"/>
      <c r="D170" s="296"/>
      <c r="E170" s="296"/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 t="s">
        <v>185</v>
      </c>
      <c r="R170" s="296"/>
      <c r="S170" s="296"/>
      <c r="T170" s="296"/>
      <c r="U170" s="296"/>
      <c r="V170" s="296"/>
      <c r="W170" s="253"/>
      <c r="X170" s="44"/>
      <c r="Y170" s="121"/>
      <c r="Z170" s="121"/>
      <c r="AA170" s="121"/>
      <c r="AB170" s="121"/>
      <c r="AC170" s="121"/>
      <c r="AD170" s="121"/>
      <c r="AE170" s="121"/>
      <c r="AF170" s="121"/>
    </row>
    <row r="171" spans="1:32" s="26" customFormat="1" ht="15.75">
      <c r="A171" s="296"/>
      <c r="B171" s="296"/>
      <c r="C171" s="296"/>
      <c r="D171" s="296"/>
      <c r="E171" s="296"/>
      <c r="F171" s="296"/>
      <c r="G171" s="296"/>
      <c r="H171" s="296"/>
      <c r="I171" s="296"/>
      <c r="J171" s="296"/>
      <c r="K171" s="296"/>
      <c r="L171" s="296"/>
      <c r="M171" s="296"/>
      <c r="N171" s="296"/>
      <c r="O171" s="296"/>
      <c r="P171" s="296"/>
      <c r="Q171" s="296" t="s">
        <v>265</v>
      </c>
      <c r="R171" s="296"/>
      <c r="S171" s="296"/>
      <c r="T171" s="296"/>
      <c r="U171" s="296"/>
      <c r="V171" s="296"/>
      <c r="W171" s="253"/>
      <c r="X171" s="44"/>
      <c r="Y171" s="121"/>
      <c r="Z171" s="121"/>
      <c r="AA171" s="121"/>
      <c r="AB171" s="121"/>
      <c r="AC171" s="121"/>
      <c r="AD171" s="121"/>
      <c r="AE171" s="121"/>
      <c r="AF171" s="121"/>
    </row>
    <row r="172" spans="1:32" s="26" customFormat="1" ht="15.75">
      <c r="A172" s="296"/>
      <c r="B172" s="296"/>
      <c r="C172" s="296"/>
      <c r="D172" s="296"/>
      <c r="E172" s="296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 t="s">
        <v>186</v>
      </c>
      <c r="R172" s="296"/>
      <c r="S172" s="296"/>
      <c r="T172" s="296" t="s">
        <v>244</v>
      </c>
      <c r="U172" s="296"/>
      <c r="V172" s="296"/>
      <c r="W172" s="253"/>
      <c r="X172" s="44"/>
      <c r="Y172" s="121"/>
      <c r="Z172" s="121"/>
      <c r="AA172" s="121"/>
      <c r="AB172" s="121"/>
      <c r="AC172" s="121"/>
      <c r="AD172" s="121"/>
      <c r="AE172" s="121"/>
      <c r="AF172" s="121"/>
    </row>
    <row r="173" spans="1:32" s="26" customFormat="1" ht="15.75">
      <c r="A173" s="296"/>
      <c r="B173" s="296"/>
      <c r="C173" s="296"/>
      <c r="D173" s="296"/>
      <c r="E173" s="296"/>
      <c r="F173" s="296"/>
      <c r="G173" s="296"/>
      <c r="H173" s="296"/>
      <c r="I173" s="296"/>
      <c r="J173" s="296"/>
      <c r="K173" s="296"/>
      <c r="L173" s="296"/>
      <c r="M173" s="296"/>
      <c r="N173" s="296"/>
      <c r="O173" s="296"/>
      <c r="P173" s="296"/>
      <c r="Q173" s="296" t="s">
        <v>188</v>
      </c>
      <c r="R173" s="296"/>
      <c r="S173" s="296"/>
      <c r="T173" s="296">
        <v>2</v>
      </c>
      <c r="U173" s="296"/>
      <c r="V173" s="296"/>
      <c r="W173" s="253"/>
      <c r="X173" s="44"/>
      <c r="Y173" s="121"/>
      <c r="Z173" s="121"/>
      <c r="AA173" s="121"/>
      <c r="AB173" s="121"/>
      <c r="AC173" s="121"/>
      <c r="AD173" s="121"/>
      <c r="AE173" s="121"/>
      <c r="AF173" s="121"/>
    </row>
    <row r="174" spans="1:32" s="26" customFormat="1" ht="15.75">
      <c r="A174" s="296"/>
      <c r="B174" s="296"/>
      <c r="C174" s="296"/>
      <c r="D174" s="296"/>
      <c r="E174" s="296"/>
      <c r="F174" s="296"/>
      <c r="G174" s="296"/>
      <c r="H174" s="296"/>
      <c r="I174" s="296"/>
      <c r="J174" s="296"/>
      <c r="K174" s="296"/>
      <c r="L174" s="296"/>
      <c r="M174" s="296"/>
      <c r="N174" s="296"/>
      <c r="O174" s="296"/>
      <c r="P174" s="296"/>
      <c r="Q174" s="296" t="s">
        <v>189</v>
      </c>
      <c r="R174" s="296"/>
      <c r="S174" s="296"/>
      <c r="T174" s="296">
        <v>14</v>
      </c>
      <c r="U174" s="296" t="s">
        <v>190</v>
      </c>
      <c r="V174" s="296"/>
      <c r="W174" s="253"/>
      <c r="X174" s="44"/>
      <c r="Y174" s="121"/>
      <c r="Z174" s="121"/>
      <c r="AA174" s="121"/>
      <c r="AB174" s="121"/>
      <c r="AC174" s="121"/>
      <c r="AD174" s="121"/>
      <c r="AE174" s="121"/>
      <c r="AF174" s="121"/>
    </row>
    <row r="175" spans="1:32" s="26" customFormat="1" ht="15.75">
      <c r="A175" s="296"/>
      <c r="B175" s="296"/>
      <c r="C175" s="296"/>
      <c r="D175" s="296"/>
      <c r="E175" s="296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 t="s">
        <v>191</v>
      </c>
      <c r="R175" s="296"/>
      <c r="S175" s="296"/>
      <c r="T175" s="296">
        <v>0</v>
      </c>
      <c r="U175" s="298">
        <f>T175*100/T174</f>
        <v>0</v>
      </c>
      <c r="V175" s="296" t="s">
        <v>17</v>
      </c>
      <c r="W175" s="253"/>
      <c r="X175" s="44"/>
      <c r="Y175" s="121"/>
      <c r="Z175" s="121"/>
      <c r="AA175" s="121"/>
      <c r="AB175" s="121"/>
      <c r="AC175" s="121"/>
      <c r="AD175" s="121"/>
      <c r="AE175" s="121"/>
      <c r="AF175" s="121"/>
    </row>
    <row r="176" spans="1:32" s="26" customFormat="1" ht="15.75">
      <c r="A176" s="296"/>
      <c r="B176" s="296"/>
      <c r="C176" s="296"/>
      <c r="D176" s="296"/>
      <c r="E176" s="296"/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 t="s">
        <v>192</v>
      </c>
      <c r="R176" s="296"/>
      <c r="S176" s="296"/>
      <c r="T176" s="296">
        <v>14</v>
      </c>
      <c r="U176" s="298">
        <f>T176*100/T174</f>
        <v>100</v>
      </c>
      <c r="V176" s="296" t="s">
        <v>17</v>
      </c>
      <c r="W176" s="253"/>
      <c r="X176" s="44"/>
      <c r="Y176" s="121"/>
      <c r="Z176" s="121"/>
      <c r="AA176" s="121"/>
      <c r="AB176" s="121"/>
      <c r="AC176" s="121"/>
      <c r="AD176" s="121"/>
      <c r="AE176" s="121"/>
      <c r="AF176" s="121"/>
    </row>
    <row r="177" spans="1:32" s="26" customFormat="1" ht="15.75">
      <c r="A177" s="296"/>
      <c r="B177" s="296"/>
      <c r="C177" s="296"/>
      <c r="D177" s="296"/>
      <c r="E177" s="296"/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 t="s">
        <v>193</v>
      </c>
      <c r="R177" s="296"/>
      <c r="S177" s="296"/>
      <c r="T177" s="296">
        <f>K196</f>
        <v>163.6</v>
      </c>
      <c r="U177" s="296"/>
      <c r="V177" s="296"/>
      <c r="W177" s="253"/>
      <c r="X177" s="44"/>
      <c r="Y177" s="121"/>
      <c r="Z177" s="121"/>
      <c r="AA177" s="121"/>
      <c r="AB177" s="121"/>
      <c r="AC177" s="121"/>
      <c r="AD177" s="121"/>
      <c r="AE177" s="121"/>
      <c r="AF177" s="121"/>
    </row>
    <row r="178" spans="1:32" s="26" customFormat="1" ht="15.75">
      <c r="A178" s="296"/>
      <c r="B178" s="296" t="s">
        <v>249</v>
      </c>
      <c r="C178" s="296" t="s">
        <v>246</v>
      </c>
      <c r="D178" s="296"/>
      <c r="E178" s="296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53"/>
      <c r="X178" s="44"/>
      <c r="Y178" s="121"/>
      <c r="Z178" s="121"/>
      <c r="AA178" s="121"/>
      <c r="AB178" s="121"/>
      <c r="AC178" s="121"/>
      <c r="AD178" s="121"/>
      <c r="AE178" s="121"/>
      <c r="AF178" s="121"/>
    </row>
    <row r="179" spans="1:32" s="26" customFormat="1" ht="15.75">
      <c r="A179" s="438" t="s">
        <v>195</v>
      </c>
      <c r="B179" s="438" t="s">
        <v>196</v>
      </c>
      <c r="C179" s="438" t="s">
        <v>197</v>
      </c>
      <c r="D179" s="438" t="s">
        <v>198</v>
      </c>
      <c r="E179" s="438" t="s">
        <v>10</v>
      </c>
      <c r="F179" s="438" t="s">
        <v>199</v>
      </c>
      <c r="G179" s="438" t="s">
        <v>200</v>
      </c>
      <c r="H179" s="438" t="s">
        <v>201</v>
      </c>
      <c r="I179" s="442" t="s">
        <v>202</v>
      </c>
      <c r="J179" s="438" t="s">
        <v>11</v>
      </c>
      <c r="K179" s="438" t="s">
        <v>203</v>
      </c>
      <c r="L179" s="438" t="s">
        <v>12</v>
      </c>
      <c r="M179" s="441" t="s">
        <v>204</v>
      </c>
      <c r="N179" s="441"/>
      <c r="O179" s="441"/>
      <c r="P179" s="441"/>
      <c r="Q179" s="441"/>
      <c r="R179" s="441"/>
      <c r="S179" s="441"/>
      <c r="T179" s="441"/>
      <c r="U179" s="438" t="s">
        <v>205</v>
      </c>
      <c r="V179" s="438" t="s">
        <v>206</v>
      </c>
      <c r="W179" s="253"/>
      <c r="X179" s="44"/>
      <c r="Y179" s="121"/>
      <c r="Z179" s="121"/>
      <c r="AA179" s="121"/>
      <c r="AB179" s="121"/>
      <c r="AC179" s="121"/>
      <c r="AD179" s="121"/>
      <c r="AE179" s="121"/>
      <c r="AF179" s="121"/>
    </row>
    <row r="180" spans="1:32" s="26" customFormat="1" ht="15.75">
      <c r="A180" s="439"/>
      <c r="B180" s="439"/>
      <c r="C180" s="439"/>
      <c r="D180" s="439"/>
      <c r="E180" s="439"/>
      <c r="F180" s="439"/>
      <c r="G180" s="439"/>
      <c r="H180" s="439"/>
      <c r="I180" s="443"/>
      <c r="J180" s="439"/>
      <c r="K180" s="439"/>
      <c r="L180" s="439"/>
      <c r="M180" s="438" t="s">
        <v>207</v>
      </c>
      <c r="N180" s="438" t="s">
        <v>15</v>
      </c>
      <c r="O180" s="441" t="s">
        <v>16</v>
      </c>
      <c r="P180" s="441"/>
      <c r="Q180" s="441"/>
      <c r="R180" s="438" t="s">
        <v>215</v>
      </c>
      <c r="S180" s="438"/>
      <c r="T180" s="438"/>
      <c r="U180" s="439"/>
      <c r="V180" s="439"/>
      <c r="W180" s="253"/>
      <c r="X180" s="44"/>
      <c r="Y180" s="121"/>
      <c r="Z180" s="121"/>
      <c r="AA180" s="121"/>
      <c r="AB180" s="121"/>
      <c r="AC180" s="121"/>
      <c r="AD180" s="121"/>
      <c r="AE180" s="121"/>
      <c r="AF180" s="121"/>
    </row>
    <row r="181" spans="1:32" s="26" customFormat="1" ht="30">
      <c r="A181" s="440"/>
      <c r="B181" s="440"/>
      <c r="C181" s="440"/>
      <c r="D181" s="440"/>
      <c r="E181" s="440"/>
      <c r="F181" s="440"/>
      <c r="G181" s="440"/>
      <c r="H181" s="440"/>
      <c r="I181" s="444"/>
      <c r="J181" s="440"/>
      <c r="K181" s="440"/>
      <c r="L181" s="440"/>
      <c r="M181" s="440"/>
      <c r="N181" s="440"/>
      <c r="O181" s="261" t="s">
        <v>17</v>
      </c>
      <c r="P181" s="261" t="s">
        <v>18</v>
      </c>
      <c r="Q181" s="261" t="s">
        <v>19</v>
      </c>
      <c r="R181" s="440"/>
      <c r="S181" s="440"/>
      <c r="T181" s="440"/>
      <c r="U181" s="440"/>
      <c r="V181" s="440"/>
      <c r="W181" s="253"/>
      <c r="X181" s="44"/>
      <c r="Y181" s="121"/>
      <c r="Z181" s="121"/>
      <c r="AA181" s="121"/>
      <c r="AB181" s="121"/>
      <c r="AC181" s="121"/>
      <c r="AD181" s="121"/>
      <c r="AE181" s="121"/>
      <c r="AF181" s="121"/>
    </row>
    <row r="182" spans="1:32" s="26" customFormat="1" ht="105">
      <c r="A182" s="261">
        <v>1</v>
      </c>
      <c r="B182" s="269"/>
      <c r="C182" s="270" t="s">
        <v>60</v>
      </c>
      <c r="D182" s="261" t="s">
        <v>51</v>
      </c>
      <c r="E182" s="272" t="s">
        <v>61</v>
      </c>
      <c r="F182" s="269" t="s">
        <v>62</v>
      </c>
      <c r="G182" s="271" t="s">
        <v>156</v>
      </c>
      <c r="H182" s="264" t="s">
        <v>25</v>
      </c>
      <c r="I182" s="271">
        <v>89016</v>
      </c>
      <c r="J182" s="265">
        <f>I182/72</f>
        <v>1236.33</v>
      </c>
      <c r="K182" s="266">
        <v>3</v>
      </c>
      <c r="L182" s="267">
        <f>J182*K182</f>
        <v>3709</v>
      </c>
      <c r="M182" s="261"/>
      <c r="N182" s="261"/>
      <c r="O182" s="261">
        <v>25</v>
      </c>
      <c r="P182" s="261">
        <v>1.2</v>
      </c>
      <c r="Q182" s="267">
        <f>17697*25%/72*P182</f>
        <v>74</v>
      </c>
      <c r="R182" s="267"/>
      <c r="S182" s="267"/>
      <c r="T182" s="267"/>
      <c r="U182" s="267">
        <f t="shared" ref="U182:U195" si="30">L182*10%</f>
        <v>371</v>
      </c>
      <c r="V182" s="267">
        <f t="shared" ref="V182:V195" si="31">M182+N182+Q182+R182+T182+U182+S182+L182</f>
        <v>4154</v>
      </c>
      <c r="W182" s="253"/>
      <c r="X182" s="44"/>
      <c r="Y182" s="121"/>
      <c r="Z182" s="121"/>
      <c r="AA182" s="121"/>
      <c r="AB182" s="121"/>
      <c r="AC182" s="121"/>
      <c r="AD182" s="121"/>
      <c r="AE182" s="121"/>
      <c r="AF182" s="121"/>
    </row>
    <row r="183" spans="1:32" s="26" customFormat="1" ht="57.75" customHeight="1">
      <c r="A183" s="268">
        <v>2</v>
      </c>
      <c r="B183" s="263"/>
      <c r="C183" s="317" t="s">
        <v>28</v>
      </c>
      <c r="D183" s="261" t="s">
        <v>51</v>
      </c>
      <c r="E183" s="263" t="s">
        <v>29</v>
      </c>
      <c r="F183" s="263" t="s">
        <v>30</v>
      </c>
      <c r="G183" s="263" t="s">
        <v>134</v>
      </c>
      <c r="H183" s="264" t="s">
        <v>25</v>
      </c>
      <c r="I183" s="264">
        <v>85653</v>
      </c>
      <c r="J183" s="265">
        <f t="shared" ref="J183:J195" si="32">I183/72</f>
        <v>1189.6300000000001</v>
      </c>
      <c r="K183" s="265">
        <v>5</v>
      </c>
      <c r="L183" s="267">
        <f t="shared" ref="L183:L195" si="33">J183*K183</f>
        <v>5948</v>
      </c>
      <c r="M183" s="261"/>
      <c r="N183" s="261"/>
      <c r="O183" s="318"/>
      <c r="P183" s="261"/>
      <c r="Q183" s="267">
        <f t="shared" ref="Q183:Q185" si="34">17697*25%/72*P183</f>
        <v>0</v>
      </c>
      <c r="R183" s="261"/>
      <c r="S183" s="261"/>
      <c r="T183" s="267"/>
      <c r="U183" s="267">
        <f t="shared" si="30"/>
        <v>595</v>
      </c>
      <c r="V183" s="267">
        <f t="shared" si="31"/>
        <v>6543</v>
      </c>
      <c r="W183" s="253"/>
      <c r="X183" s="44"/>
      <c r="Y183" s="121"/>
      <c r="Z183" s="121"/>
      <c r="AA183" s="121"/>
      <c r="AB183" s="121"/>
      <c r="AC183" s="121"/>
      <c r="AD183" s="121"/>
      <c r="AE183" s="121"/>
      <c r="AF183" s="121"/>
    </row>
    <row r="184" spans="1:32" s="26" customFormat="1" ht="92.25" customHeight="1">
      <c r="A184" s="261">
        <v>3</v>
      </c>
      <c r="B184" s="269"/>
      <c r="C184" s="270" t="s">
        <v>446</v>
      </c>
      <c r="D184" s="261" t="s">
        <v>51</v>
      </c>
      <c r="E184" s="269" t="s">
        <v>56</v>
      </c>
      <c r="F184" s="269" t="s">
        <v>57</v>
      </c>
      <c r="G184" s="269" t="s">
        <v>24</v>
      </c>
      <c r="H184" s="271" t="s">
        <v>25</v>
      </c>
      <c r="I184" s="264">
        <v>90609</v>
      </c>
      <c r="J184" s="265">
        <f t="shared" si="32"/>
        <v>1258.46</v>
      </c>
      <c r="K184" s="265">
        <f>4.8+2.6</f>
        <v>7.4</v>
      </c>
      <c r="L184" s="267">
        <f t="shared" si="33"/>
        <v>9313</v>
      </c>
      <c r="M184" s="261"/>
      <c r="N184" s="261"/>
      <c r="O184" s="261"/>
      <c r="P184" s="261"/>
      <c r="Q184" s="267">
        <f t="shared" si="34"/>
        <v>0</v>
      </c>
      <c r="R184" s="261"/>
      <c r="S184" s="261"/>
      <c r="T184" s="267"/>
      <c r="U184" s="267">
        <f t="shared" si="30"/>
        <v>931</v>
      </c>
      <c r="V184" s="267">
        <f t="shared" si="31"/>
        <v>10244</v>
      </c>
      <c r="W184" s="253"/>
      <c r="X184" s="44"/>
      <c r="Y184" s="121"/>
      <c r="Z184" s="121"/>
      <c r="AA184" s="121"/>
      <c r="AB184" s="121"/>
      <c r="AC184" s="121"/>
      <c r="AD184" s="121"/>
      <c r="AE184" s="121"/>
      <c r="AF184" s="121"/>
    </row>
    <row r="185" spans="1:32" s="26" customFormat="1" ht="60">
      <c r="A185" s="268">
        <v>4</v>
      </c>
      <c r="B185" s="269"/>
      <c r="C185" s="270" t="s">
        <v>293</v>
      </c>
      <c r="D185" s="261" t="s">
        <v>51</v>
      </c>
      <c r="E185" s="269" t="s">
        <v>94</v>
      </c>
      <c r="F185" s="269" t="s">
        <v>95</v>
      </c>
      <c r="G185" s="271" t="s">
        <v>164</v>
      </c>
      <c r="H185" s="271" t="s">
        <v>25</v>
      </c>
      <c r="I185" s="271">
        <v>93971</v>
      </c>
      <c r="J185" s="265">
        <f t="shared" si="32"/>
        <v>1305.1500000000001</v>
      </c>
      <c r="K185" s="265">
        <v>5</v>
      </c>
      <c r="L185" s="267">
        <f t="shared" si="33"/>
        <v>6526</v>
      </c>
      <c r="M185" s="261"/>
      <c r="N185" s="261"/>
      <c r="O185" s="261">
        <v>25</v>
      </c>
      <c r="P185" s="261">
        <v>3</v>
      </c>
      <c r="Q185" s="267">
        <f t="shared" si="34"/>
        <v>184</v>
      </c>
      <c r="R185" s="261"/>
      <c r="S185" s="261"/>
      <c r="T185" s="267"/>
      <c r="U185" s="267">
        <f t="shared" si="30"/>
        <v>653</v>
      </c>
      <c r="V185" s="267">
        <f t="shared" si="31"/>
        <v>7363</v>
      </c>
      <c r="W185" s="253"/>
      <c r="X185" s="44"/>
      <c r="Y185" s="121"/>
      <c r="Z185" s="121"/>
      <c r="AA185" s="121"/>
      <c r="AB185" s="121"/>
      <c r="AC185" s="121"/>
      <c r="AD185" s="121"/>
      <c r="AE185" s="121"/>
      <c r="AF185" s="121"/>
    </row>
    <row r="186" spans="1:32" s="26" customFormat="1" ht="37.5" customHeight="1">
      <c r="A186" s="261">
        <v>5</v>
      </c>
      <c r="B186" s="269"/>
      <c r="C186" s="275" t="s">
        <v>294</v>
      </c>
      <c r="D186" s="261" t="s">
        <v>51</v>
      </c>
      <c r="E186" s="272" t="s">
        <v>75</v>
      </c>
      <c r="F186" s="269" t="s">
        <v>76</v>
      </c>
      <c r="G186" s="269" t="s">
        <v>152</v>
      </c>
      <c r="H186" s="264" t="s">
        <v>25</v>
      </c>
      <c r="I186" s="271">
        <v>90609</v>
      </c>
      <c r="J186" s="265">
        <f t="shared" si="32"/>
        <v>1258.46</v>
      </c>
      <c r="K186" s="265">
        <v>5</v>
      </c>
      <c r="L186" s="267">
        <f t="shared" si="33"/>
        <v>6292</v>
      </c>
      <c r="M186" s="261"/>
      <c r="N186" s="261"/>
      <c r="O186" s="261">
        <v>20</v>
      </c>
      <c r="P186" s="261">
        <v>2</v>
      </c>
      <c r="Q186" s="267">
        <f>17697*20%/72*P186</f>
        <v>98</v>
      </c>
      <c r="R186" s="261"/>
      <c r="S186" s="261"/>
      <c r="T186" s="267"/>
      <c r="U186" s="267">
        <f t="shared" si="30"/>
        <v>629</v>
      </c>
      <c r="V186" s="267">
        <f t="shared" si="31"/>
        <v>7019</v>
      </c>
      <c r="W186" s="253"/>
      <c r="X186" s="44"/>
      <c r="Y186" s="121"/>
      <c r="Z186" s="121"/>
      <c r="AA186" s="121"/>
      <c r="AB186" s="121"/>
      <c r="AC186" s="121"/>
      <c r="AD186" s="121"/>
      <c r="AE186" s="121"/>
      <c r="AF186" s="121"/>
    </row>
    <row r="187" spans="1:32" s="26" customFormat="1" ht="45">
      <c r="A187" s="268">
        <v>6</v>
      </c>
      <c r="B187" s="275"/>
      <c r="C187" s="270" t="s">
        <v>296</v>
      </c>
      <c r="D187" s="261" t="s">
        <v>51</v>
      </c>
      <c r="E187" s="275" t="s">
        <v>237</v>
      </c>
      <c r="F187" s="275" t="s">
        <v>238</v>
      </c>
      <c r="G187" s="276" t="s">
        <v>32</v>
      </c>
      <c r="H187" s="264" t="s">
        <v>42</v>
      </c>
      <c r="I187" s="276">
        <v>82468</v>
      </c>
      <c r="J187" s="265">
        <f t="shared" si="32"/>
        <v>1145.3900000000001</v>
      </c>
      <c r="K187" s="265">
        <v>11.2</v>
      </c>
      <c r="L187" s="267">
        <f t="shared" si="33"/>
        <v>12828</v>
      </c>
      <c r="M187" s="261"/>
      <c r="N187" s="261">
        <v>4424</v>
      </c>
      <c r="O187" s="261"/>
      <c r="P187" s="261"/>
      <c r="Q187" s="267">
        <f t="shared" ref="Q187:Q193" si="35">17697*20%/72*P187</f>
        <v>0</v>
      </c>
      <c r="R187" s="261"/>
      <c r="S187" s="261"/>
      <c r="T187" s="267"/>
      <c r="U187" s="267">
        <f t="shared" si="30"/>
        <v>1283</v>
      </c>
      <c r="V187" s="267">
        <f t="shared" si="31"/>
        <v>18535</v>
      </c>
      <c r="W187" s="253"/>
      <c r="X187" s="44"/>
      <c r="Y187" s="121"/>
      <c r="Z187" s="121"/>
      <c r="AA187" s="121"/>
      <c r="AB187" s="121"/>
      <c r="AC187" s="121"/>
      <c r="AD187" s="121"/>
      <c r="AE187" s="121"/>
      <c r="AF187" s="121"/>
    </row>
    <row r="188" spans="1:32" s="26" customFormat="1" ht="102.75" customHeight="1">
      <c r="A188" s="268">
        <v>8</v>
      </c>
      <c r="B188" s="272"/>
      <c r="C188" s="270" t="s">
        <v>299</v>
      </c>
      <c r="D188" s="261" t="s">
        <v>51</v>
      </c>
      <c r="E188" s="269" t="s">
        <v>80</v>
      </c>
      <c r="F188" s="269" t="s">
        <v>130</v>
      </c>
      <c r="G188" s="269" t="s">
        <v>174</v>
      </c>
      <c r="H188" s="264" t="s">
        <v>25</v>
      </c>
      <c r="I188" s="271">
        <v>89016</v>
      </c>
      <c r="J188" s="265">
        <f t="shared" si="32"/>
        <v>1236.33</v>
      </c>
      <c r="K188" s="299">
        <f>13+2.4</f>
        <v>15.4</v>
      </c>
      <c r="L188" s="267">
        <f t="shared" si="33"/>
        <v>19039</v>
      </c>
      <c r="M188" s="261"/>
      <c r="N188" s="261"/>
      <c r="O188" s="261"/>
      <c r="P188" s="261"/>
      <c r="Q188" s="267">
        <f t="shared" si="35"/>
        <v>0</v>
      </c>
      <c r="R188" s="261"/>
      <c r="S188" s="261"/>
      <c r="T188" s="267"/>
      <c r="U188" s="267">
        <f t="shared" si="30"/>
        <v>1904</v>
      </c>
      <c r="V188" s="267">
        <f t="shared" si="31"/>
        <v>20943</v>
      </c>
      <c r="W188" s="253"/>
      <c r="X188" s="44"/>
      <c r="Y188" s="121"/>
      <c r="Z188" s="121"/>
      <c r="AA188" s="121"/>
      <c r="AB188" s="121"/>
      <c r="AC188" s="121"/>
      <c r="AD188" s="121"/>
      <c r="AE188" s="121"/>
      <c r="AF188" s="121"/>
    </row>
    <row r="189" spans="1:32" s="26" customFormat="1" ht="156" customHeight="1">
      <c r="A189" s="261">
        <v>9</v>
      </c>
      <c r="B189" s="269"/>
      <c r="C189" s="269" t="s">
        <v>301</v>
      </c>
      <c r="D189" s="261" t="s">
        <v>51</v>
      </c>
      <c r="E189" s="269" t="s">
        <v>26</v>
      </c>
      <c r="F189" s="269" t="s">
        <v>83</v>
      </c>
      <c r="G189" s="269" t="s">
        <v>160</v>
      </c>
      <c r="H189" s="271" t="s">
        <v>25</v>
      </c>
      <c r="I189" s="271">
        <v>89016</v>
      </c>
      <c r="J189" s="265">
        <f t="shared" si="32"/>
        <v>1236.33</v>
      </c>
      <c r="K189" s="266">
        <f>3.8+8.8+8.8+6.8</f>
        <v>28.2</v>
      </c>
      <c r="L189" s="300">
        <f t="shared" si="33"/>
        <v>34865</v>
      </c>
      <c r="M189" s="288"/>
      <c r="N189" s="288"/>
      <c r="O189" s="288"/>
      <c r="P189" s="261"/>
      <c r="Q189" s="300">
        <f t="shared" si="35"/>
        <v>0</v>
      </c>
      <c r="R189" s="288"/>
      <c r="S189" s="288"/>
      <c r="T189" s="300"/>
      <c r="U189" s="267">
        <f t="shared" si="30"/>
        <v>3487</v>
      </c>
      <c r="V189" s="267">
        <f t="shared" si="31"/>
        <v>38352</v>
      </c>
      <c r="W189" s="253"/>
      <c r="X189" s="44"/>
      <c r="Y189" s="121"/>
      <c r="Z189" s="121"/>
      <c r="AA189" s="121"/>
      <c r="AB189" s="121"/>
      <c r="AC189" s="121"/>
      <c r="AD189" s="121"/>
      <c r="AE189" s="121"/>
      <c r="AF189" s="121"/>
    </row>
    <row r="190" spans="1:32" s="26" customFormat="1" ht="99.75" customHeight="1">
      <c r="A190" s="268">
        <v>10</v>
      </c>
      <c r="B190" s="275"/>
      <c r="C190" s="270" t="s">
        <v>536</v>
      </c>
      <c r="D190" s="261" t="s">
        <v>51</v>
      </c>
      <c r="E190" s="275" t="s">
        <v>38</v>
      </c>
      <c r="F190" s="275" t="s">
        <v>109</v>
      </c>
      <c r="G190" s="276" t="s">
        <v>168</v>
      </c>
      <c r="H190" s="271" t="s">
        <v>25</v>
      </c>
      <c r="I190" s="319">
        <v>92201</v>
      </c>
      <c r="J190" s="302">
        <f t="shared" si="32"/>
        <v>1280.57</v>
      </c>
      <c r="K190" s="266">
        <f>6+4.4</f>
        <v>10.4</v>
      </c>
      <c r="L190" s="267">
        <f t="shared" si="33"/>
        <v>13318</v>
      </c>
      <c r="M190" s="261">
        <v>4424</v>
      </c>
      <c r="N190" s="261"/>
      <c r="O190" s="261"/>
      <c r="P190" s="261"/>
      <c r="Q190" s="267">
        <f t="shared" si="35"/>
        <v>0</v>
      </c>
      <c r="R190" s="261"/>
      <c r="S190" s="261"/>
      <c r="T190" s="267"/>
      <c r="U190" s="267">
        <f t="shared" si="30"/>
        <v>1332</v>
      </c>
      <c r="V190" s="267">
        <f t="shared" si="31"/>
        <v>19074</v>
      </c>
      <c r="W190" s="253"/>
      <c r="X190" s="44"/>
      <c r="Y190" s="121"/>
      <c r="Z190" s="121"/>
      <c r="AA190" s="121"/>
      <c r="AB190" s="121"/>
      <c r="AC190" s="121"/>
      <c r="AD190" s="121"/>
      <c r="AE190" s="121"/>
      <c r="AF190" s="121"/>
    </row>
    <row r="191" spans="1:32" s="26" customFormat="1" ht="105">
      <c r="A191" s="261">
        <v>11</v>
      </c>
      <c r="B191" s="263"/>
      <c r="C191" s="274" t="s">
        <v>298</v>
      </c>
      <c r="D191" s="261" t="s">
        <v>51</v>
      </c>
      <c r="E191" s="275" t="s">
        <v>22</v>
      </c>
      <c r="F191" s="275" t="s">
        <v>23</v>
      </c>
      <c r="G191" s="263" t="s">
        <v>99</v>
      </c>
      <c r="H191" s="264" t="s">
        <v>25</v>
      </c>
      <c r="I191" s="264">
        <v>92201</v>
      </c>
      <c r="J191" s="265">
        <f t="shared" si="32"/>
        <v>1280.57</v>
      </c>
      <c r="K191" s="266">
        <v>8</v>
      </c>
      <c r="L191" s="267">
        <f t="shared" si="33"/>
        <v>10245</v>
      </c>
      <c r="M191" s="261"/>
      <c r="N191" s="261"/>
      <c r="O191" s="261"/>
      <c r="P191" s="261"/>
      <c r="Q191" s="267">
        <f t="shared" si="35"/>
        <v>0</v>
      </c>
      <c r="R191" s="261"/>
      <c r="S191" s="261"/>
      <c r="T191" s="267"/>
      <c r="U191" s="267">
        <f t="shared" si="30"/>
        <v>1025</v>
      </c>
      <c r="V191" s="267">
        <f t="shared" si="31"/>
        <v>11270</v>
      </c>
      <c r="W191" s="253"/>
      <c r="X191" s="44"/>
      <c r="Y191" s="121"/>
      <c r="Z191" s="121"/>
      <c r="AA191" s="121"/>
      <c r="AB191" s="121"/>
      <c r="AC191" s="121"/>
      <c r="AD191" s="121"/>
      <c r="AE191" s="121"/>
      <c r="AF191" s="121"/>
    </row>
    <row r="192" spans="1:32" s="26" customFormat="1" ht="73.5" customHeight="1">
      <c r="A192" s="268">
        <v>12</v>
      </c>
      <c r="B192" s="277"/>
      <c r="C192" s="278" t="s">
        <v>300</v>
      </c>
      <c r="D192" s="261" t="s">
        <v>51</v>
      </c>
      <c r="E192" s="277" t="s">
        <v>26</v>
      </c>
      <c r="F192" s="277" t="s">
        <v>48</v>
      </c>
      <c r="G192" s="277" t="s">
        <v>145</v>
      </c>
      <c r="H192" s="279" t="s">
        <v>25</v>
      </c>
      <c r="I192" s="279">
        <v>85653</v>
      </c>
      <c r="J192" s="299">
        <f t="shared" si="32"/>
        <v>1189.6300000000001</v>
      </c>
      <c r="K192" s="266">
        <v>4.4000000000000004</v>
      </c>
      <c r="L192" s="267">
        <f t="shared" si="33"/>
        <v>5234</v>
      </c>
      <c r="M192" s="261"/>
      <c r="N192" s="261"/>
      <c r="O192" s="261"/>
      <c r="P192" s="261"/>
      <c r="Q192" s="267">
        <f t="shared" si="35"/>
        <v>0</v>
      </c>
      <c r="R192" s="261"/>
      <c r="S192" s="261"/>
      <c r="T192" s="267"/>
      <c r="U192" s="267">
        <f t="shared" si="30"/>
        <v>523</v>
      </c>
      <c r="V192" s="267">
        <f t="shared" si="31"/>
        <v>5757</v>
      </c>
      <c r="W192" s="253"/>
      <c r="X192" s="44"/>
      <c r="Y192" s="121"/>
      <c r="Z192" s="121"/>
      <c r="AA192" s="121"/>
      <c r="AB192" s="121"/>
      <c r="AC192" s="121"/>
      <c r="AD192" s="121"/>
      <c r="AE192" s="121"/>
      <c r="AF192" s="121"/>
    </row>
    <row r="193" spans="1:32" s="26" customFormat="1" ht="60">
      <c r="A193" s="261">
        <v>13</v>
      </c>
      <c r="B193" s="275"/>
      <c r="C193" s="275" t="s">
        <v>355</v>
      </c>
      <c r="D193" s="261" t="s">
        <v>51</v>
      </c>
      <c r="E193" s="275" t="s">
        <v>31</v>
      </c>
      <c r="F193" s="275" t="s">
        <v>242</v>
      </c>
      <c r="G193" s="269" t="s">
        <v>145</v>
      </c>
      <c r="H193" s="271" t="s">
        <v>25</v>
      </c>
      <c r="I193" s="271">
        <v>85653</v>
      </c>
      <c r="J193" s="265">
        <f t="shared" si="32"/>
        <v>1189.6300000000001</v>
      </c>
      <c r="K193" s="265">
        <v>3.4</v>
      </c>
      <c r="L193" s="267">
        <f t="shared" si="33"/>
        <v>4045</v>
      </c>
      <c r="M193" s="261"/>
      <c r="N193" s="261"/>
      <c r="O193" s="261"/>
      <c r="P193" s="261"/>
      <c r="Q193" s="267">
        <f t="shared" si="35"/>
        <v>0</v>
      </c>
      <c r="R193" s="261"/>
      <c r="S193" s="261"/>
      <c r="T193" s="267"/>
      <c r="U193" s="267">
        <f t="shared" si="30"/>
        <v>405</v>
      </c>
      <c r="V193" s="267">
        <f t="shared" si="31"/>
        <v>4450</v>
      </c>
      <c r="W193" s="253"/>
      <c r="X193" s="44"/>
      <c r="Y193" s="121"/>
      <c r="Z193" s="121"/>
      <c r="AA193" s="121"/>
      <c r="AB193" s="121"/>
      <c r="AC193" s="121"/>
      <c r="AD193" s="121"/>
      <c r="AE193" s="121"/>
      <c r="AF193" s="121"/>
    </row>
    <row r="194" spans="1:32" s="26" customFormat="1" ht="60">
      <c r="A194" s="268">
        <v>14</v>
      </c>
      <c r="B194" s="275"/>
      <c r="C194" s="270" t="s">
        <v>347</v>
      </c>
      <c r="D194" s="261" t="s">
        <v>51</v>
      </c>
      <c r="E194" s="262" t="s">
        <v>232</v>
      </c>
      <c r="F194" s="275" t="s">
        <v>233</v>
      </c>
      <c r="G194" s="276" t="s">
        <v>180</v>
      </c>
      <c r="H194" s="264" t="s">
        <v>42</v>
      </c>
      <c r="I194" s="276">
        <v>90609</v>
      </c>
      <c r="J194" s="265">
        <f t="shared" si="32"/>
        <v>1258.46</v>
      </c>
      <c r="K194" s="265">
        <v>3.6</v>
      </c>
      <c r="L194" s="267">
        <f t="shared" si="33"/>
        <v>4530</v>
      </c>
      <c r="M194" s="261"/>
      <c r="N194" s="261"/>
      <c r="O194" s="261"/>
      <c r="P194" s="261"/>
      <c r="Q194" s="267">
        <f>17697*25%/72*P194</f>
        <v>0</v>
      </c>
      <c r="R194" s="261"/>
      <c r="S194" s="261"/>
      <c r="T194" s="267"/>
      <c r="U194" s="267">
        <f t="shared" si="30"/>
        <v>453</v>
      </c>
      <c r="V194" s="267">
        <f t="shared" si="31"/>
        <v>4983</v>
      </c>
      <c r="W194" s="253"/>
      <c r="X194" s="44"/>
      <c r="Y194" s="121"/>
      <c r="Z194" s="121"/>
      <c r="AA194" s="121"/>
      <c r="AB194" s="121"/>
      <c r="AC194" s="121"/>
      <c r="AD194" s="121"/>
      <c r="AE194" s="121"/>
      <c r="AF194" s="121"/>
    </row>
    <row r="195" spans="1:32" s="26" customFormat="1" ht="54" customHeight="1">
      <c r="A195" s="261">
        <v>15</v>
      </c>
      <c r="B195" s="275"/>
      <c r="C195" s="286" t="s">
        <v>303</v>
      </c>
      <c r="D195" s="261" t="s">
        <v>51</v>
      </c>
      <c r="E195" s="287"/>
      <c r="F195" s="287"/>
      <c r="G195" s="276" t="s">
        <v>50</v>
      </c>
      <c r="H195" s="271" t="s">
        <v>42</v>
      </c>
      <c r="I195" s="271">
        <v>85653</v>
      </c>
      <c r="J195" s="265">
        <f t="shared" si="32"/>
        <v>1189.6300000000001</v>
      </c>
      <c r="K195" s="304">
        <f>7.2+3.6+10+32.8</f>
        <v>53.6</v>
      </c>
      <c r="L195" s="267">
        <f t="shared" si="33"/>
        <v>63764</v>
      </c>
      <c r="M195" s="304"/>
      <c r="N195" s="304"/>
      <c r="O195" s="304"/>
      <c r="P195" s="304"/>
      <c r="Q195" s="305"/>
      <c r="R195" s="304"/>
      <c r="S195" s="304"/>
      <c r="T195" s="305"/>
      <c r="U195" s="267">
        <f t="shared" si="30"/>
        <v>6376</v>
      </c>
      <c r="V195" s="267">
        <f t="shared" si="31"/>
        <v>70140</v>
      </c>
      <c r="W195" s="253"/>
      <c r="X195" s="44"/>
      <c r="Y195" s="121"/>
      <c r="Z195" s="121"/>
      <c r="AA195" s="121"/>
      <c r="AB195" s="121"/>
      <c r="AC195" s="121"/>
      <c r="AD195" s="121"/>
      <c r="AE195" s="121"/>
      <c r="AF195" s="121"/>
    </row>
    <row r="196" spans="1:32" s="26" customFormat="1" ht="15.75">
      <c r="A196" s="261"/>
      <c r="B196" s="261" t="s">
        <v>8</v>
      </c>
      <c r="C196" s="261"/>
      <c r="D196" s="261"/>
      <c r="E196" s="261"/>
      <c r="F196" s="261"/>
      <c r="G196" s="261"/>
      <c r="H196" s="261"/>
      <c r="I196" s="261"/>
      <c r="J196" s="265"/>
      <c r="K196" s="265">
        <f>SUM(K182:K195)</f>
        <v>163.6</v>
      </c>
      <c r="L196" s="265">
        <f t="shared" ref="L196:V196" si="36">SUM(L182:L195)</f>
        <v>199656</v>
      </c>
      <c r="M196" s="265">
        <f t="shared" si="36"/>
        <v>4424</v>
      </c>
      <c r="N196" s="265">
        <f t="shared" si="36"/>
        <v>4424</v>
      </c>
      <c r="O196" s="265"/>
      <c r="P196" s="265">
        <f t="shared" si="36"/>
        <v>6.2</v>
      </c>
      <c r="Q196" s="265">
        <f t="shared" si="36"/>
        <v>356</v>
      </c>
      <c r="R196" s="265">
        <f t="shared" si="36"/>
        <v>0</v>
      </c>
      <c r="S196" s="265">
        <f t="shared" si="36"/>
        <v>0</v>
      </c>
      <c r="T196" s="265">
        <f t="shared" si="36"/>
        <v>0</v>
      </c>
      <c r="U196" s="265">
        <f t="shared" si="36"/>
        <v>19967</v>
      </c>
      <c r="V196" s="265">
        <f t="shared" si="36"/>
        <v>228827</v>
      </c>
      <c r="W196" s="253"/>
      <c r="X196" s="44"/>
      <c r="Y196" s="121"/>
      <c r="Z196" s="121"/>
      <c r="AA196" s="121"/>
      <c r="AB196" s="121"/>
      <c r="AC196" s="121"/>
      <c r="AD196" s="121"/>
      <c r="AE196" s="121"/>
      <c r="AF196" s="121"/>
    </row>
    <row r="197" spans="1:32" s="26" customFormat="1" ht="15.75">
      <c r="A197" s="296"/>
      <c r="B197" s="296"/>
      <c r="C197" s="296"/>
      <c r="D197" s="296"/>
      <c r="E197" s="296"/>
      <c r="F197" s="296"/>
      <c r="G197" s="296"/>
      <c r="H197" s="296"/>
      <c r="I197" s="296"/>
      <c r="J197" s="296"/>
      <c r="K197" s="298"/>
      <c r="L197" s="296"/>
      <c r="M197" s="296"/>
      <c r="N197" s="290" t="s">
        <v>213</v>
      </c>
      <c r="O197" s="290"/>
      <c r="P197" s="290"/>
      <c r="Q197" s="290"/>
      <c r="R197" s="291"/>
      <c r="S197" s="291"/>
      <c r="T197" s="296"/>
      <c r="U197" s="296"/>
      <c r="V197" s="296"/>
      <c r="W197" s="253"/>
      <c r="X197" s="44"/>
      <c r="Y197" s="121"/>
      <c r="Z197" s="121"/>
      <c r="AA197" s="121"/>
      <c r="AB197" s="121"/>
      <c r="AC197" s="121"/>
      <c r="AD197" s="121"/>
      <c r="AE197" s="121"/>
      <c r="AF197" s="121"/>
    </row>
    <row r="198" spans="1:32" s="26" customFormat="1" ht="15.75">
      <c r="A198" s="295" t="s">
        <v>0</v>
      </c>
      <c r="B198" s="295"/>
      <c r="C198" s="295"/>
      <c r="D198" s="295"/>
      <c r="E198" s="296"/>
      <c r="F198" s="296"/>
      <c r="G198" s="296"/>
      <c r="H198" s="296"/>
      <c r="I198" s="296"/>
      <c r="J198" s="296"/>
      <c r="K198" s="296"/>
      <c r="L198" s="296"/>
      <c r="M198" s="296"/>
      <c r="N198" s="257" t="s">
        <v>1</v>
      </c>
      <c r="O198" s="257"/>
      <c r="P198" s="257"/>
      <c r="Q198" s="257"/>
      <c r="R198" s="257"/>
      <c r="S198" s="257"/>
      <c r="T198" s="257"/>
      <c r="U198" s="258"/>
      <c r="V198" s="258"/>
      <c r="W198" s="253"/>
      <c r="X198" s="44"/>
      <c r="Y198" s="121"/>
      <c r="Z198" s="121"/>
      <c r="AA198" s="121"/>
      <c r="AB198" s="121"/>
      <c r="AC198" s="121"/>
      <c r="AD198" s="121"/>
      <c r="AE198" s="121"/>
      <c r="AF198" s="121"/>
    </row>
    <row r="199" spans="1:32" s="26" customFormat="1" ht="15.75">
      <c r="A199" s="295" t="s">
        <v>2</v>
      </c>
      <c r="B199" s="295"/>
      <c r="C199" s="295"/>
      <c r="D199" s="295"/>
      <c r="E199" s="296"/>
      <c r="F199" s="296"/>
      <c r="G199" s="296"/>
      <c r="H199" s="296"/>
      <c r="I199" s="296"/>
      <c r="J199" s="296"/>
      <c r="K199" s="296"/>
      <c r="L199" s="296"/>
      <c r="M199" s="296"/>
      <c r="N199" s="257" t="s">
        <v>3</v>
      </c>
      <c r="O199" s="257"/>
      <c r="P199" s="257"/>
      <c r="Q199" s="257"/>
      <c r="R199" s="257"/>
      <c r="S199" s="257"/>
      <c r="T199" s="257"/>
      <c r="U199" s="258"/>
      <c r="V199" s="258"/>
      <c r="W199" s="253"/>
      <c r="X199" s="44"/>
      <c r="Y199" s="121"/>
      <c r="Z199" s="121"/>
      <c r="AA199" s="121"/>
      <c r="AB199" s="121"/>
      <c r="AC199" s="121"/>
      <c r="AD199" s="121"/>
      <c r="AE199" s="121"/>
      <c r="AF199" s="121"/>
    </row>
    <row r="200" spans="1:32" s="26" customFormat="1" ht="15.75">
      <c r="A200" s="295"/>
      <c r="B200" s="295"/>
      <c r="C200" s="295"/>
      <c r="D200" s="295"/>
      <c r="E200" s="296"/>
      <c r="F200" s="296"/>
      <c r="G200" s="296"/>
      <c r="H200" s="296"/>
      <c r="I200" s="296"/>
      <c r="J200" s="296"/>
      <c r="K200" s="296"/>
      <c r="L200" s="296"/>
      <c r="M200" s="296"/>
      <c r="N200" s="256" t="s">
        <v>4</v>
      </c>
      <c r="O200" s="256"/>
      <c r="P200" s="256"/>
      <c r="Q200" s="256"/>
      <c r="R200" s="256"/>
      <c r="S200" s="256"/>
      <c r="T200" s="256"/>
      <c r="U200" s="258"/>
      <c r="V200" s="258"/>
      <c r="W200" s="253"/>
      <c r="X200" s="44"/>
      <c r="Y200" s="121"/>
      <c r="Z200" s="121"/>
      <c r="AA200" s="121"/>
      <c r="AB200" s="121"/>
      <c r="AC200" s="121"/>
      <c r="AD200" s="121"/>
      <c r="AE200" s="121"/>
      <c r="AF200" s="121"/>
    </row>
    <row r="201" spans="1:32" s="26" customFormat="1" ht="15.75">
      <c r="A201" s="295" t="s">
        <v>5</v>
      </c>
      <c r="B201" s="295"/>
      <c r="C201" s="295" t="s">
        <v>6</v>
      </c>
      <c r="D201" s="295"/>
      <c r="E201" s="445" t="s">
        <v>183</v>
      </c>
      <c r="F201" s="445"/>
      <c r="G201" s="445"/>
      <c r="H201" s="445"/>
      <c r="I201" s="445"/>
      <c r="J201" s="445"/>
      <c r="K201" s="445"/>
      <c r="L201" s="445"/>
      <c r="M201" s="258"/>
      <c r="N201" s="257" t="s">
        <v>139</v>
      </c>
      <c r="O201" s="257"/>
      <c r="P201" s="257"/>
      <c r="Q201" s="257"/>
      <c r="R201" s="257"/>
      <c r="S201" s="257"/>
      <c r="T201" s="257"/>
      <c r="U201" s="258"/>
      <c r="V201" s="258"/>
      <c r="W201" s="253"/>
      <c r="X201" s="44"/>
      <c r="Y201" s="121"/>
      <c r="Z201" s="121"/>
      <c r="AA201" s="121"/>
      <c r="AB201" s="121"/>
      <c r="AC201" s="121"/>
      <c r="AD201" s="121"/>
      <c r="AE201" s="121"/>
      <c r="AF201" s="121"/>
    </row>
    <row r="202" spans="1:32" s="26" customFormat="1" ht="15.75">
      <c r="A202" s="295"/>
      <c r="B202" s="295"/>
      <c r="C202" s="295"/>
      <c r="D202" s="295"/>
      <c r="E202" s="446" t="s">
        <v>184</v>
      </c>
      <c r="F202" s="446"/>
      <c r="G202" s="446"/>
      <c r="H202" s="446"/>
      <c r="I202" s="446"/>
      <c r="J202" s="446"/>
      <c r="K202" s="446"/>
      <c r="L202" s="446"/>
      <c r="M202" s="446"/>
      <c r="N202" s="296"/>
      <c r="O202" s="296"/>
      <c r="P202" s="296"/>
      <c r="Q202" s="296"/>
      <c r="R202" s="296"/>
      <c r="S202" s="296"/>
      <c r="T202" s="296"/>
      <c r="U202" s="296"/>
      <c r="V202" s="296"/>
      <c r="W202" s="253"/>
      <c r="X202" s="44"/>
      <c r="Y202" s="121"/>
      <c r="Z202" s="121"/>
      <c r="AA202" s="121"/>
      <c r="AB202" s="121"/>
      <c r="AC202" s="121"/>
      <c r="AD202" s="121"/>
      <c r="AE202" s="121"/>
      <c r="AF202" s="121"/>
    </row>
    <row r="203" spans="1:32" s="26" customFormat="1" ht="15.75">
      <c r="A203" s="296"/>
      <c r="B203" s="296"/>
      <c r="C203" s="296"/>
      <c r="D203" s="296"/>
      <c r="E203" s="447" t="s">
        <v>219</v>
      </c>
      <c r="F203" s="447"/>
      <c r="G203" s="447"/>
      <c r="H203" s="447"/>
      <c r="I203" s="447"/>
      <c r="J203" s="447"/>
      <c r="K203" s="447"/>
      <c r="L203" s="447"/>
      <c r="M203" s="447"/>
      <c r="N203" s="296"/>
      <c r="O203" s="296"/>
      <c r="P203" s="296"/>
      <c r="Q203" s="296"/>
      <c r="R203" s="296"/>
      <c r="S203" s="296"/>
      <c r="T203" s="296"/>
      <c r="U203" s="296"/>
      <c r="V203" s="296"/>
      <c r="W203" s="253"/>
      <c r="X203" s="44"/>
      <c r="Y203" s="121"/>
      <c r="Z203" s="121"/>
      <c r="AA203" s="121"/>
      <c r="AB203" s="121"/>
      <c r="AC203" s="121"/>
      <c r="AD203" s="121"/>
      <c r="AE203" s="121"/>
      <c r="AF203" s="121"/>
    </row>
    <row r="204" spans="1:32" s="26" customFormat="1" ht="15.75">
      <c r="A204" s="296"/>
      <c r="B204" s="296"/>
      <c r="C204" s="296"/>
      <c r="D204" s="296"/>
      <c r="E204" s="447" t="s">
        <v>7</v>
      </c>
      <c r="F204" s="447"/>
      <c r="G204" s="447"/>
      <c r="H204" s="447"/>
      <c r="I204" s="447"/>
      <c r="J204" s="447"/>
      <c r="K204" s="447"/>
      <c r="L204" s="447"/>
      <c r="M204" s="447"/>
      <c r="N204" s="296"/>
      <c r="O204" s="296"/>
      <c r="P204" s="296"/>
      <c r="Q204" s="296"/>
      <c r="R204" s="296"/>
      <c r="S204" s="296"/>
      <c r="T204" s="296"/>
      <c r="U204" s="296"/>
      <c r="V204" s="296"/>
      <c r="W204" s="253"/>
      <c r="X204" s="44"/>
      <c r="Y204" s="121"/>
      <c r="Z204" s="121"/>
      <c r="AA204" s="121"/>
      <c r="AB204" s="121"/>
      <c r="AC204" s="121"/>
      <c r="AD204" s="121"/>
      <c r="AE204" s="121"/>
      <c r="AF204" s="121"/>
    </row>
    <row r="205" spans="1:32" s="26" customFormat="1" ht="15.75">
      <c r="A205" s="296"/>
      <c r="B205" s="296"/>
      <c r="C205" s="296"/>
      <c r="D205" s="296"/>
      <c r="E205" s="296"/>
      <c r="F205" s="296"/>
      <c r="G205" s="296"/>
      <c r="H205" s="296"/>
      <c r="I205" s="296"/>
      <c r="J205" s="296"/>
      <c r="K205" s="296"/>
      <c r="L205" s="296"/>
      <c r="M205" s="296"/>
      <c r="N205" s="296"/>
      <c r="O205" s="296"/>
      <c r="P205" s="296"/>
      <c r="Q205" s="296" t="s">
        <v>185</v>
      </c>
      <c r="R205" s="296"/>
      <c r="S205" s="296"/>
      <c r="T205" s="296"/>
      <c r="U205" s="296"/>
      <c r="V205" s="296"/>
      <c r="W205" s="253"/>
      <c r="X205" s="44"/>
      <c r="Y205" s="121"/>
      <c r="Z205" s="121"/>
      <c r="AA205" s="121"/>
      <c r="AB205" s="121"/>
      <c r="AC205" s="121"/>
      <c r="AD205" s="121"/>
      <c r="AE205" s="121"/>
      <c r="AF205" s="121"/>
    </row>
    <row r="206" spans="1:32" s="26" customFormat="1" ht="15.75">
      <c r="A206" s="296"/>
      <c r="B206" s="296"/>
      <c r="C206" s="296"/>
      <c r="D206" s="296"/>
      <c r="E206" s="296"/>
      <c r="F206" s="296"/>
      <c r="G206" s="296"/>
      <c r="H206" s="296"/>
      <c r="I206" s="296"/>
      <c r="J206" s="296"/>
      <c r="K206" s="296"/>
      <c r="L206" s="296"/>
      <c r="M206" s="296"/>
      <c r="N206" s="296"/>
      <c r="O206" s="296"/>
      <c r="P206" s="296"/>
      <c r="Q206" s="296" t="s">
        <v>265</v>
      </c>
      <c r="R206" s="296"/>
      <c r="S206" s="296"/>
      <c r="T206" s="296"/>
      <c r="U206" s="296"/>
      <c r="V206" s="296"/>
      <c r="W206" s="253"/>
      <c r="X206" s="44"/>
      <c r="Y206" s="121"/>
      <c r="Z206" s="121"/>
      <c r="AA206" s="121"/>
      <c r="AB206" s="121"/>
      <c r="AC206" s="121"/>
      <c r="AD206" s="121"/>
      <c r="AE206" s="121"/>
      <c r="AF206" s="121"/>
    </row>
    <row r="207" spans="1:32" s="26" customFormat="1" ht="15.75">
      <c r="A207" s="296"/>
      <c r="B207" s="296"/>
      <c r="C207" s="296"/>
      <c r="D207" s="296"/>
      <c r="E207" s="296"/>
      <c r="F207" s="296"/>
      <c r="G207" s="296"/>
      <c r="H207" s="296"/>
      <c r="I207" s="296"/>
      <c r="J207" s="296"/>
      <c r="K207" s="296"/>
      <c r="L207" s="296"/>
      <c r="M207" s="296"/>
      <c r="N207" s="296"/>
      <c r="O207" s="296"/>
      <c r="P207" s="296"/>
      <c r="Q207" s="296" t="s">
        <v>186</v>
      </c>
      <c r="R207" s="296"/>
      <c r="S207" s="296"/>
      <c r="T207" s="296" t="s">
        <v>244</v>
      </c>
      <c r="U207" s="296"/>
      <c r="V207" s="296"/>
      <c r="W207" s="253"/>
      <c r="X207" s="44"/>
      <c r="Y207" s="121"/>
      <c r="Z207" s="121"/>
      <c r="AA207" s="121"/>
      <c r="AB207" s="121"/>
      <c r="AC207" s="121"/>
      <c r="AD207" s="121"/>
      <c r="AE207" s="121"/>
      <c r="AF207" s="121"/>
    </row>
    <row r="208" spans="1:32" s="26" customFormat="1" ht="15.75">
      <c r="A208" s="296"/>
      <c r="B208" s="296"/>
      <c r="C208" s="296"/>
      <c r="D208" s="296"/>
      <c r="E208" s="296"/>
      <c r="F208" s="296"/>
      <c r="G208" s="296"/>
      <c r="H208" s="296"/>
      <c r="I208" s="296"/>
      <c r="J208" s="296"/>
      <c r="K208" s="296"/>
      <c r="L208" s="296"/>
      <c r="M208" s="296"/>
      <c r="N208" s="296"/>
      <c r="O208" s="296"/>
      <c r="P208" s="296"/>
      <c r="Q208" s="296" t="s">
        <v>188</v>
      </c>
      <c r="R208" s="296"/>
      <c r="S208" s="296"/>
      <c r="T208" s="296">
        <v>3</v>
      </c>
      <c r="U208" s="296"/>
      <c r="V208" s="296"/>
      <c r="W208" s="253"/>
      <c r="X208" s="44"/>
      <c r="Y208" s="121"/>
      <c r="Z208" s="121"/>
      <c r="AA208" s="121"/>
      <c r="AB208" s="121"/>
      <c r="AC208" s="121"/>
      <c r="AD208" s="121"/>
      <c r="AE208" s="121"/>
      <c r="AF208" s="121"/>
    </row>
    <row r="209" spans="1:32" s="26" customFormat="1" ht="15.75">
      <c r="A209" s="296"/>
      <c r="B209" s="296"/>
      <c r="C209" s="296"/>
      <c r="D209" s="296"/>
      <c r="E209" s="296"/>
      <c r="F209" s="296"/>
      <c r="G209" s="296"/>
      <c r="H209" s="296"/>
      <c r="I209" s="296"/>
      <c r="J209" s="296"/>
      <c r="K209" s="296"/>
      <c r="L209" s="296"/>
      <c r="M209" s="296"/>
      <c r="N209" s="296"/>
      <c r="O209" s="296"/>
      <c r="P209" s="296"/>
      <c r="Q209" s="296" t="s">
        <v>189</v>
      </c>
      <c r="R209" s="296"/>
      <c r="S209" s="296"/>
      <c r="T209" s="296">
        <v>26</v>
      </c>
      <c r="U209" s="296" t="s">
        <v>190</v>
      </c>
      <c r="V209" s="296"/>
      <c r="W209" s="253"/>
      <c r="X209" s="44"/>
      <c r="Y209" s="121"/>
      <c r="Z209" s="121"/>
      <c r="AA209" s="121"/>
      <c r="AB209" s="121"/>
      <c r="AC209" s="121"/>
      <c r="AD209" s="121"/>
      <c r="AE209" s="121"/>
      <c r="AF209" s="121"/>
    </row>
    <row r="210" spans="1:32" s="26" customFormat="1" ht="15.75">
      <c r="A210" s="296"/>
      <c r="B210" s="296"/>
      <c r="C210" s="296"/>
      <c r="D210" s="296"/>
      <c r="E210" s="296"/>
      <c r="F210" s="296"/>
      <c r="G210" s="296"/>
      <c r="H210" s="296"/>
      <c r="I210" s="296"/>
      <c r="J210" s="296"/>
      <c r="K210" s="296"/>
      <c r="L210" s="296"/>
      <c r="M210" s="296"/>
      <c r="N210" s="296"/>
      <c r="O210" s="296"/>
      <c r="P210" s="296"/>
      <c r="Q210" s="296" t="s">
        <v>191</v>
      </c>
      <c r="R210" s="296"/>
      <c r="S210" s="296"/>
      <c r="T210" s="296">
        <v>25</v>
      </c>
      <c r="U210" s="298">
        <f>T210*100/T209</f>
        <v>96.15</v>
      </c>
      <c r="V210" s="296" t="s">
        <v>17</v>
      </c>
      <c r="W210" s="253"/>
      <c r="X210" s="44"/>
      <c r="Y210" s="121"/>
      <c r="Z210" s="121"/>
      <c r="AA210" s="121"/>
      <c r="AB210" s="121"/>
      <c r="AC210" s="121"/>
      <c r="AD210" s="121"/>
      <c r="AE210" s="121"/>
      <c r="AF210" s="121"/>
    </row>
    <row r="211" spans="1:32" s="26" customFormat="1" ht="15.75">
      <c r="A211" s="296"/>
      <c r="B211" s="296"/>
      <c r="C211" s="296"/>
      <c r="D211" s="296"/>
      <c r="E211" s="296"/>
      <c r="F211" s="296"/>
      <c r="G211" s="296"/>
      <c r="H211" s="296"/>
      <c r="I211" s="296"/>
      <c r="J211" s="296"/>
      <c r="K211" s="296"/>
      <c r="L211" s="296"/>
      <c r="M211" s="296"/>
      <c r="N211" s="296"/>
      <c r="O211" s="296"/>
      <c r="P211" s="296"/>
      <c r="Q211" s="296" t="s">
        <v>192</v>
      </c>
      <c r="R211" s="296"/>
      <c r="S211" s="296"/>
      <c r="T211" s="296">
        <v>1</v>
      </c>
      <c r="U211" s="298">
        <f>T211*100/T209</f>
        <v>3.85</v>
      </c>
      <c r="V211" s="296" t="s">
        <v>17</v>
      </c>
      <c r="W211" s="253"/>
      <c r="X211" s="44"/>
      <c r="Y211" s="121"/>
      <c r="Z211" s="121"/>
      <c r="AA211" s="121"/>
      <c r="AB211" s="121"/>
      <c r="AC211" s="121"/>
      <c r="AD211" s="121"/>
      <c r="AE211" s="121"/>
      <c r="AF211" s="121"/>
    </row>
    <row r="212" spans="1:32" s="26" customFormat="1" ht="15.75">
      <c r="A212" s="296"/>
      <c r="B212" s="296"/>
      <c r="C212" s="296"/>
      <c r="D212" s="296"/>
      <c r="E212" s="296"/>
      <c r="F212" s="296"/>
      <c r="G212" s="296"/>
      <c r="H212" s="296"/>
      <c r="I212" s="296"/>
      <c r="J212" s="296"/>
      <c r="K212" s="296"/>
      <c r="L212" s="296"/>
      <c r="M212" s="296"/>
      <c r="N212" s="296"/>
      <c r="O212" s="296"/>
      <c r="P212" s="296"/>
      <c r="Q212" s="296" t="s">
        <v>193</v>
      </c>
      <c r="R212" s="296"/>
      <c r="S212" s="296"/>
      <c r="T212" s="296">
        <f>K224</f>
        <v>164.8</v>
      </c>
      <c r="U212" s="296"/>
      <c r="V212" s="296"/>
      <c r="W212" s="253"/>
      <c r="X212" s="44"/>
      <c r="Y212" s="121"/>
      <c r="Z212" s="121"/>
      <c r="AA212" s="121"/>
      <c r="AB212" s="121"/>
      <c r="AC212" s="121"/>
      <c r="AD212" s="121"/>
      <c r="AE212" s="121"/>
      <c r="AF212" s="121"/>
    </row>
    <row r="213" spans="1:32" s="26" customFormat="1" ht="15.75">
      <c r="A213" s="296"/>
      <c r="B213" s="296" t="s">
        <v>304</v>
      </c>
      <c r="C213" s="296" t="s">
        <v>246</v>
      </c>
      <c r="D213" s="296"/>
      <c r="E213" s="296"/>
      <c r="F213" s="296"/>
      <c r="G213" s="296"/>
      <c r="H213" s="296"/>
      <c r="I213" s="296"/>
      <c r="J213" s="296"/>
      <c r="K213" s="296"/>
      <c r="L213" s="296"/>
      <c r="M213" s="296"/>
      <c r="N213" s="296"/>
      <c r="O213" s="296"/>
      <c r="P213" s="296"/>
      <c r="Q213" s="296"/>
      <c r="R213" s="296"/>
      <c r="S213" s="296"/>
      <c r="T213" s="296"/>
      <c r="U213" s="296"/>
      <c r="V213" s="296"/>
      <c r="W213" s="253"/>
      <c r="X213" s="44"/>
      <c r="Y213" s="121"/>
      <c r="Z213" s="121"/>
      <c r="AA213" s="121"/>
      <c r="AB213" s="121"/>
      <c r="AC213" s="121"/>
      <c r="AD213" s="121"/>
      <c r="AE213" s="121"/>
      <c r="AF213" s="121"/>
    </row>
    <row r="214" spans="1:32" s="26" customFormat="1" ht="15.75">
      <c r="A214" s="438" t="s">
        <v>195</v>
      </c>
      <c r="B214" s="438" t="s">
        <v>196</v>
      </c>
      <c r="C214" s="438" t="s">
        <v>197</v>
      </c>
      <c r="D214" s="438" t="s">
        <v>198</v>
      </c>
      <c r="E214" s="438" t="s">
        <v>10</v>
      </c>
      <c r="F214" s="438" t="s">
        <v>199</v>
      </c>
      <c r="G214" s="438" t="s">
        <v>200</v>
      </c>
      <c r="H214" s="438" t="s">
        <v>201</v>
      </c>
      <c r="I214" s="442" t="s">
        <v>202</v>
      </c>
      <c r="J214" s="438" t="s">
        <v>11</v>
      </c>
      <c r="K214" s="438" t="s">
        <v>203</v>
      </c>
      <c r="L214" s="438" t="s">
        <v>12</v>
      </c>
      <c r="M214" s="441" t="s">
        <v>204</v>
      </c>
      <c r="N214" s="441"/>
      <c r="O214" s="441"/>
      <c r="P214" s="441"/>
      <c r="Q214" s="441"/>
      <c r="R214" s="441"/>
      <c r="S214" s="441"/>
      <c r="T214" s="441"/>
      <c r="U214" s="438" t="s">
        <v>205</v>
      </c>
      <c r="V214" s="438" t="s">
        <v>206</v>
      </c>
      <c r="W214" s="253"/>
      <c r="X214" s="44"/>
      <c r="Y214" s="121"/>
      <c r="Z214" s="121"/>
      <c r="AA214" s="121"/>
      <c r="AB214" s="121"/>
      <c r="AC214" s="121"/>
      <c r="AD214" s="121"/>
      <c r="AE214" s="121"/>
      <c r="AF214" s="121"/>
    </row>
    <row r="215" spans="1:32" s="26" customFormat="1" ht="15.75">
      <c r="A215" s="439"/>
      <c r="B215" s="439"/>
      <c r="C215" s="439"/>
      <c r="D215" s="439"/>
      <c r="E215" s="439"/>
      <c r="F215" s="439"/>
      <c r="G215" s="439"/>
      <c r="H215" s="439"/>
      <c r="I215" s="443"/>
      <c r="J215" s="439"/>
      <c r="K215" s="439"/>
      <c r="L215" s="439"/>
      <c r="M215" s="438" t="s">
        <v>207</v>
      </c>
      <c r="N215" s="438" t="s">
        <v>15</v>
      </c>
      <c r="O215" s="441" t="s">
        <v>16</v>
      </c>
      <c r="P215" s="441"/>
      <c r="Q215" s="441"/>
      <c r="R215" s="438" t="s">
        <v>215</v>
      </c>
      <c r="S215" s="438"/>
      <c r="T215" s="438"/>
      <c r="U215" s="439"/>
      <c r="V215" s="439"/>
      <c r="W215" s="253"/>
      <c r="X215" s="44"/>
      <c r="Y215" s="121"/>
      <c r="Z215" s="121"/>
      <c r="AA215" s="121"/>
      <c r="AB215" s="121"/>
      <c r="AC215" s="121"/>
      <c r="AD215" s="121"/>
      <c r="AE215" s="121"/>
      <c r="AF215" s="121"/>
    </row>
    <row r="216" spans="1:32" s="26" customFormat="1" ht="112.5" customHeight="1">
      <c r="A216" s="440"/>
      <c r="B216" s="440"/>
      <c r="C216" s="440"/>
      <c r="D216" s="440"/>
      <c r="E216" s="440"/>
      <c r="F216" s="440"/>
      <c r="G216" s="440"/>
      <c r="H216" s="440"/>
      <c r="I216" s="444"/>
      <c r="J216" s="440"/>
      <c r="K216" s="440"/>
      <c r="L216" s="440"/>
      <c r="M216" s="440"/>
      <c r="N216" s="440"/>
      <c r="O216" s="377" t="s">
        <v>17</v>
      </c>
      <c r="P216" s="377" t="s">
        <v>18</v>
      </c>
      <c r="Q216" s="377" t="s">
        <v>19</v>
      </c>
      <c r="R216" s="440"/>
      <c r="S216" s="440"/>
      <c r="T216" s="440"/>
      <c r="U216" s="440"/>
      <c r="V216" s="440"/>
      <c r="W216" s="253"/>
      <c r="X216" s="44"/>
      <c r="Y216" s="121"/>
      <c r="Z216" s="121"/>
      <c r="AA216" s="121"/>
      <c r="AB216" s="121"/>
      <c r="AC216" s="121"/>
      <c r="AD216" s="121"/>
      <c r="AE216" s="121"/>
      <c r="AF216" s="121"/>
    </row>
    <row r="217" spans="1:32" s="26" customFormat="1" ht="41.25" customHeight="1">
      <c r="A217" s="377">
        <v>1</v>
      </c>
      <c r="B217" s="269"/>
      <c r="C217" s="269" t="s">
        <v>296</v>
      </c>
      <c r="D217" s="377" t="s">
        <v>51</v>
      </c>
      <c r="E217" s="269" t="s">
        <v>115</v>
      </c>
      <c r="F217" s="269" t="s">
        <v>116</v>
      </c>
      <c r="G217" s="269" t="s">
        <v>89</v>
      </c>
      <c r="H217" s="264" t="s">
        <v>25</v>
      </c>
      <c r="I217" s="271">
        <v>93971</v>
      </c>
      <c r="J217" s="265">
        <f>I217/72</f>
        <v>1305.1500000000001</v>
      </c>
      <c r="K217" s="266">
        <v>10</v>
      </c>
      <c r="L217" s="267">
        <f>J217*K217</f>
        <v>13052</v>
      </c>
      <c r="M217" s="377"/>
      <c r="N217" s="377"/>
      <c r="O217" s="377"/>
      <c r="P217" s="377"/>
      <c r="Q217" s="267">
        <f>17697*25%/72*P217</f>
        <v>0</v>
      </c>
      <c r="R217" s="267"/>
      <c r="S217" s="267"/>
      <c r="T217" s="267"/>
      <c r="U217" s="267">
        <f t="shared" ref="U217:U223" si="37">L217*10%</f>
        <v>1305</v>
      </c>
      <c r="V217" s="267">
        <f t="shared" ref="V217:V223" si="38">M217+N217+Q217+R217+T217+U217+S217+L217</f>
        <v>14357</v>
      </c>
      <c r="W217" s="253"/>
      <c r="X217" s="44"/>
      <c r="Y217" s="121"/>
      <c r="Z217" s="121"/>
      <c r="AA217" s="121"/>
      <c r="AB217" s="121"/>
      <c r="AC217" s="121"/>
      <c r="AD217" s="121"/>
      <c r="AE217" s="121"/>
      <c r="AF217" s="121"/>
    </row>
    <row r="218" spans="1:32" s="26" customFormat="1" ht="47.25" customHeight="1">
      <c r="A218" s="268">
        <v>2</v>
      </c>
      <c r="B218" s="272"/>
      <c r="C218" s="270" t="s">
        <v>296</v>
      </c>
      <c r="D218" s="377" t="s">
        <v>51</v>
      </c>
      <c r="E218" s="269" t="s">
        <v>132</v>
      </c>
      <c r="F218" s="269" t="s">
        <v>133</v>
      </c>
      <c r="G218" s="269" t="s">
        <v>175</v>
      </c>
      <c r="H218" s="264" t="s">
        <v>42</v>
      </c>
      <c r="I218" s="271">
        <v>85653</v>
      </c>
      <c r="J218" s="265">
        <f t="shared" ref="J218:J223" si="39">I218/72</f>
        <v>1189.6300000000001</v>
      </c>
      <c r="K218" s="265">
        <v>10</v>
      </c>
      <c r="L218" s="267">
        <f t="shared" ref="L218:L223" si="40">J218*K218</f>
        <v>11896</v>
      </c>
      <c r="M218" s="377"/>
      <c r="N218" s="377"/>
      <c r="O218" s="318"/>
      <c r="P218" s="377"/>
      <c r="Q218" s="267">
        <f t="shared" ref="Q218:Q220" si="41">17697*25%/72*P218</f>
        <v>0</v>
      </c>
      <c r="R218" s="377"/>
      <c r="S218" s="377"/>
      <c r="T218" s="267"/>
      <c r="U218" s="267">
        <f t="shared" si="37"/>
        <v>1190</v>
      </c>
      <c r="V218" s="267">
        <f t="shared" si="38"/>
        <v>13086</v>
      </c>
      <c r="W218" s="253"/>
      <c r="X218" s="44"/>
      <c r="Y218" s="121"/>
      <c r="Z218" s="121"/>
      <c r="AA218" s="121"/>
      <c r="AB218" s="121"/>
      <c r="AC218" s="121"/>
      <c r="AD218" s="121"/>
      <c r="AE218" s="121"/>
      <c r="AF218" s="121"/>
    </row>
    <row r="219" spans="1:32" s="26" customFormat="1" ht="33.75" customHeight="1">
      <c r="A219" s="377">
        <v>3</v>
      </c>
      <c r="B219" s="269"/>
      <c r="C219" s="269" t="s">
        <v>305</v>
      </c>
      <c r="D219" s="377" t="s">
        <v>51</v>
      </c>
      <c r="E219" s="269" t="s">
        <v>26</v>
      </c>
      <c r="F219" s="269" t="s">
        <v>83</v>
      </c>
      <c r="G219" s="269" t="s">
        <v>160</v>
      </c>
      <c r="H219" s="271" t="s">
        <v>25</v>
      </c>
      <c r="I219" s="271">
        <v>89016</v>
      </c>
      <c r="J219" s="265">
        <f t="shared" si="39"/>
        <v>1236.33</v>
      </c>
      <c r="K219" s="265">
        <v>12.6</v>
      </c>
      <c r="L219" s="267">
        <f t="shared" si="40"/>
        <v>15578</v>
      </c>
      <c r="M219" s="377"/>
      <c r="N219" s="377"/>
      <c r="O219" s="377"/>
      <c r="P219" s="377"/>
      <c r="Q219" s="267">
        <f t="shared" si="41"/>
        <v>0</v>
      </c>
      <c r="R219" s="377"/>
      <c r="S219" s="377"/>
      <c r="T219" s="267"/>
      <c r="U219" s="267">
        <f t="shared" si="37"/>
        <v>1558</v>
      </c>
      <c r="V219" s="267">
        <f t="shared" si="38"/>
        <v>17136</v>
      </c>
      <c r="W219" s="253"/>
      <c r="X219" s="44"/>
      <c r="Y219" s="121"/>
      <c r="Z219" s="121"/>
      <c r="AA219" s="121"/>
      <c r="AB219" s="121"/>
      <c r="AC219" s="121"/>
      <c r="AD219" s="121"/>
      <c r="AE219" s="121"/>
      <c r="AF219" s="121"/>
    </row>
    <row r="220" spans="1:32" s="26" customFormat="1" ht="80.25" customHeight="1">
      <c r="A220" s="268">
        <v>4</v>
      </c>
      <c r="B220" s="275"/>
      <c r="C220" s="270" t="s">
        <v>297</v>
      </c>
      <c r="D220" s="377" t="s">
        <v>51</v>
      </c>
      <c r="E220" s="275" t="s">
        <v>38</v>
      </c>
      <c r="F220" s="275" t="s">
        <v>109</v>
      </c>
      <c r="G220" s="276" t="s">
        <v>168</v>
      </c>
      <c r="H220" s="271" t="s">
        <v>25</v>
      </c>
      <c r="I220" s="319">
        <v>92201</v>
      </c>
      <c r="J220" s="265">
        <f t="shared" si="39"/>
        <v>1280.57</v>
      </c>
      <c r="K220" s="265">
        <f>28.4+32.4</f>
        <v>60.8</v>
      </c>
      <c r="L220" s="267">
        <f t="shared" si="40"/>
        <v>77859</v>
      </c>
      <c r="M220" s="377"/>
      <c r="N220" s="377"/>
      <c r="O220" s="377"/>
      <c r="P220" s="377"/>
      <c r="Q220" s="267">
        <f t="shared" si="41"/>
        <v>0</v>
      </c>
      <c r="R220" s="377"/>
      <c r="S220" s="377"/>
      <c r="T220" s="267"/>
      <c r="U220" s="267">
        <f t="shared" si="37"/>
        <v>7786</v>
      </c>
      <c r="V220" s="267">
        <f t="shared" si="38"/>
        <v>85645</v>
      </c>
      <c r="W220" s="253"/>
      <c r="X220" s="44"/>
      <c r="Y220" s="121"/>
      <c r="Z220" s="121"/>
      <c r="AA220" s="121"/>
      <c r="AB220" s="121"/>
      <c r="AC220" s="121"/>
      <c r="AD220" s="121"/>
      <c r="AE220" s="121"/>
      <c r="AF220" s="121"/>
    </row>
    <row r="221" spans="1:32" s="26" customFormat="1" ht="84" customHeight="1">
      <c r="A221" s="377">
        <v>5</v>
      </c>
      <c r="B221" s="275"/>
      <c r="C221" s="270" t="s">
        <v>306</v>
      </c>
      <c r="D221" s="377" t="s">
        <v>51</v>
      </c>
      <c r="E221" s="275" t="s">
        <v>38</v>
      </c>
      <c r="F221" s="275" t="s">
        <v>257</v>
      </c>
      <c r="G221" s="276" t="s">
        <v>179</v>
      </c>
      <c r="H221" s="264" t="s">
        <v>25</v>
      </c>
      <c r="I221" s="276">
        <v>84061</v>
      </c>
      <c r="J221" s="265">
        <f t="shared" si="39"/>
        <v>1167.51</v>
      </c>
      <c r="K221" s="265">
        <f>4.8+12.6</f>
        <v>17.399999999999999</v>
      </c>
      <c r="L221" s="267">
        <f t="shared" si="40"/>
        <v>20315</v>
      </c>
      <c r="M221" s="377"/>
      <c r="N221" s="377"/>
      <c r="O221" s="377"/>
      <c r="P221" s="377"/>
      <c r="Q221" s="267">
        <f>17697*20%/72*P221</f>
        <v>0</v>
      </c>
      <c r="R221" s="377"/>
      <c r="S221" s="377"/>
      <c r="T221" s="267"/>
      <c r="U221" s="267">
        <f t="shared" si="37"/>
        <v>2032</v>
      </c>
      <c r="V221" s="267">
        <f t="shared" si="38"/>
        <v>22347</v>
      </c>
      <c r="W221" s="253"/>
      <c r="X221" s="44"/>
      <c r="Y221" s="121"/>
      <c r="Z221" s="121"/>
      <c r="AA221" s="121"/>
      <c r="AB221" s="121"/>
      <c r="AC221" s="121"/>
      <c r="AD221" s="121"/>
      <c r="AE221" s="121"/>
      <c r="AF221" s="121"/>
    </row>
    <row r="222" spans="1:32" s="26" customFormat="1" ht="43.5" customHeight="1">
      <c r="A222" s="268">
        <v>6</v>
      </c>
      <c r="B222" s="275"/>
      <c r="C222" s="320" t="s">
        <v>493</v>
      </c>
      <c r="D222" s="377" t="s">
        <v>51</v>
      </c>
      <c r="E222" s="282"/>
      <c r="F222" s="287"/>
      <c r="G222" s="276"/>
      <c r="H222" s="264"/>
      <c r="I222" s="276"/>
      <c r="J222" s="265"/>
      <c r="K222" s="302"/>
      <c r="L222" s="267"/>
      <c r="M222" s="376">
        <v>4424</v>
      </c>
      <c r="N222" s="376"/>
      <c r="O222" s="376"/>
      <c r="P222" s="376"/>
      <c r="Q222" s="305"/>
      <c r="R222" s="376"/>
      <c r="S222" s="376"/>
      <c r="T222" s="305"/>
      <c r="U222" s="267">
        <f t="shared" si="37"/>
        <v>0</v>
      </c>
      <c r="V222" s="267">
        <f t="shared" si="38"/>
        <v>4424</v>
      </c>
      <c r="W222" s="253"/>
      <c r="X222" s="44"/>
      <c r="Y222" s="121"/>
      <c r="Z222" s="121"/>
      <c r="AA222" s="121"/>
      <c r="AB222" s="121"/>
      <c r="AC222" s="121"/>
      <c r="AD222" s="121"/>
      <c r="AE222" s="121"/>
      <c r="AF222" s="121"/>
    </row>
    <row r="223" spans="1:32" s="26" customFormat="1" ht="60" customHeight="1">
      <c r="A223" s="377">
        <v>7</v>
      </c>
      <c r="B223" s="275"/>
      <c r="C223" s="286" t="s">
        <v>307</v>
      </c>
      <c r="D223" s="377" t="s">
        <v>51</v>
      </c>
      <c r="E223" s="287"/>
      <c r="F223" s="287"/>
      <c r="G223" s="276" t="s">
        <v>50</v>
      </c>
      <c r="H223" s="271" t="s">
        <v>42</v>
      </c>
      <c r="I223" s="271">
        <v>85653</v>
      </c>
      <c r="J223" s="265">
        <f t="shared" si="39"/>
        <v>1189.6300000000001</v>
      </c>
      <c r="K223" s="376">
        <f>1.8+1.8+2.6+10+37.8</f>
        <v>54</v>
      </c>
      <c r="L223" s="267">
        <f t="shared" si="40"/>
        <v>64240</v>
      </c>
      <c r="M223" s="376"/>
      <c r="N223" s="376"/>
      <c r="O223" s="376"/>
      <c r="P223" s="376"/>
      <c r="Q223" s="305"/>
      <c r="R223" s="376"/>
      <c r="S223" s="376"/>
      <c r="T223" s="305"/>
      <c r="U223" s="267">
        <f t="shared" si="37"/>
        <v>6424</v>
      </c>
      <c r="V223" s="267">
        <f t="shared" si="38"/>
        <v>70664</v>
      </c>
      <c r="W223" s="253"/>
      <c r="X223" s="44"/>
      <c r="Y223" s="121"/>
      <c r="Z223" s="121"/>
      <c r="AA223" s="121"/>
      <c r="AB223" s="121"/>
      <c r="AC223" s="121"/>
      <c r="AD223" s="121"/>
      <c r="AE223" s="121"/>
      <c r="AF223" s="121"/>
    </row>
    <row r="224" spans="1:32" s="26" customFormat="1" ht="15.75">
      <c r="A224" s="377"/>
      <c r="B224" s="377" t="s">
        <v>8</v>
      </c>
      <c r="C224" s="377"/>
      <c r="D224" s="377"/>
      <c r="E224" s="377"/>
      <c r="F224" s="377"/>
      <c r="G224" s="377"/>
      <c r="H224" s="377"/>
      <c r="I224" s="377"/>
      <c r="J224" s="265"/>
      <c r="K224" s="265">
        <f>SUM(K217:K223)</f>
        <v>164.8</v>
      </c>
      <c r="L224" s="265">
        <f t="shared" ref="L224:V224" si="42">SUM(L217:L223)</f>
        <v>202940</v>
      </c>
      <c r="M224" s="265">
        <f t="shared" si="42"/>
        <v>4424</v>
      </c>
      <c r="N224" s="265">
        <f t="shared" si="42"/>
        <v>0</v>
      </c>
      <c r="O224" s="265"/>
      <c r="P224" s="265">
        <f t="shared" si="42"/>
        <v>0</v>
      </c>
      <c r="Q224" s="265">
        <f t="shared" si="42"/>
        <v>0</v>
      </c>
      <c r="R224" s="265">
        <f t="shared" si="42"/>
        <v>0</v>
      </c>
      <c r="S224" s="265">
        <f t="shared" si="42"/>
        <v>0</v>
      </c>
      <c r="T224" s="265">
        <f t="shared" si="42"/>
        <v>0</v>
      </c>
      <c r="U224" s="265">
        <f t="shared" si="42"/>
        <v>20295</v>
      </c>
      <c r="V224" s="265">
        <f t="shared" si="42"/>
        <v>227659</v>
      </c>
      <c r="W224" s="253"/>
      <c r="X224" s="44"/>
      <c r="Y224" s="121"/>
      <c r="Z224" s="121"/>
      <c r="AA224" s="121"/>
      <c r="AB224" s="121"/>
      <c r="AC224" s="121"/>
      <c r="AD224" s="121"/>
      <c r="AE224" s="121"/>
      <c r="AF224" s="121"/>
    </row>
    <row r="225" spans="1:32" s="26" customFormat="1" ht="15.75">
      <c r="A225" s="296"/>
      <c r="B225" s="296"/>
      <c r="C225" s="296"/>
      <c r="D225" s="296"/>
      <c r="E225" s="296"/>
      <c r="F225" s="296"/>
      <c r="G225" s="296"/>
      <c r="H225" s="296"/>
      <c r="I225" s="296"/>
      <c r="J225" s="296"/>
      <c r="K225" s="298"/>
      <c r="L225" s="296"/>
      <c r="M225" s="296"/>
      <c r="N225" s="290" t="s">
        <v>213</v>
      </c>
      <c r="O225" s="290"/>
      <c r="P225" s="290"/>
      <c r="Q225" s="290"/>
      <c r="R225" s="291"/>
      <c r="S225" s="291"/>
      <c r="T225" s="296"/>
      <c r="U225" s="296"/>
      <c r="V225" s="296"/>
      <c r="W225" s="253"/>
      <c r="X225" s="44"/>
      <c r="Y225" s="121"/>
      <c r="Z225" s="121"/>
      <c r="AA225" s="121"/>
      <c r="AB225" s="121"/>
      <c r="AC225" s="121"/>
      <c r="AD225" s="121"/>
      <c r="AE225" s="121"/>
      <c r="AF225" s="121"/>
    </row>
    <row r="226" spans="1:32" s="26" customFormat="1" ht="15.75">
      <c r="A226" s="321"/>
      <c r="B226" s="318"/>
      <c r="C226" s="318"/>
      <c r="D226" s="318"/>
      <c r="E226" s="318"/>
      <c r="F226" s="318"/>
      <c r="G226" s="318"/>
      <c r="H226" s="318"/>
      <c r="I226" s="318"/>
      <c r="J226" s="318"/>
      <c r="K226" s="318"/>
      <c r="L226" s="318"/>
      <c r="M226" s="318"/>
      <c r="N226" s="318"/>
      <c r="O226" s="318"/>
      <c r="P226" s="318"/>
      <c r="Q226" s="318"/>
      <c r="R226" s="318"/>
      <c r="S226" s="318"/>
      <c r="T226" s="318"/>
      <c r="U226" s="318"/>
      <c r="V226" s="318"/>
      <c r="W226" s="253"/>
      <c r="X226" s="44"/>
      <c r="Y226" s="121"/>
      <c r="Z226" s="121"/>
      <c r="AA226" s="121"/>
      <c r="AB226" s="121"/>
      <c r="AC226" s="121"/>
      <c r="AD226" s="121"/>
      <c r="AE226" s="121"/>
      <c r="AF226" s="121"/>
    </row>
    <row r="227" spans="1:32" s="26" customFormat="1" ht="15.75">
      <c r="A227" s="295" t="s">
        <v>0</v>
      </c>
      <c r="B227" s="295"/>
      <c r="C227" s="295"/>
      <c r="D227" s="295"/>
      <c r="E227" s="296"/>
      <c r="F227" s="296"/>
      <c r="G227" s="296"/>
      <c r="H227" s="296"/>
      <c r="I227" s="296"/>
      <c r="J227" s="296"/>
      <c r="K227" s="296"/>
      <c r="L227" s="296"/>
      <c r="M227" s="296"/>
      <c r="N227" s="257" t="s">
        <v>1</v>
      </c>
      <c r="O227" s="257"/>
      <c r="P227" s="257"/>
      <c r="Q227" s="257"/>
      <c r="R227" s="257"/>
      <c r="S227" s="257"/>
      <c r="T227" s="257"/>
      <c r="U227" s="258"/>
      <c r="V227" s="258"/>
      <c r="W227" s="253"/>
      <c r="X227" s="44"/>
      <c r="Y227" s="121"/>
      <c r="Z227" s="121"/>
      <c r="AA227" s="121"/>
      <c r="AB227" s="121"/>
      <c r="AC227" s="121"/>
      <c r="AD227" s="121"/>
      <c r="AE227" s="121"/>
      <c r="AF227" s="121"/>
    </row>
    <row r="228" spans="1:32" s="26" customFormat="1" ht="15.75">
      <c r="A228" s="295" t="s">
        <v>2</v>
      </c>
      <c r="B228" s="295"/>
      <c r="C228" s="295"/>
      <c r="D228" s="295"/>
      <c r="E228" s="296"/>
      <c r="F228" s="296"/>
      <c r="G228" s="296"/>
      <c r="H228" s="296"/>
      <c r="I228" s="296"/>
      <c r="J228" s="296"/>
      <c r="K228" s="296"/>
      <c r="L228" s="296"/>
      <c r="M228" s="296"/>
      <c r="N228" s="257" t="s">
        <v>3</v>
      </c>
      <c r="O228" s="257"/>
      <c r="P228" s="257"/>
      <c r="Q228" s="257"/>
      <c r="R228" s="257"/>
      <c r="S228" s="257"/>
      <c r="T228" s="257"/>
      <c r="U228" s="258"/>
      <c r="V228" s="258"/>
      <c r="W228" s="253"/>
      <c r="X228" s="44"/>
      <c r="Y228" s="121"/>
      <c r="Z228" s="121"/>
      <c r="AA228" s="121"/>
      <c r="AB228" s="121"/>
      <c r="AC228" s="121"/>
      <c r="AD228" s="121"/>
      <c r="AE228" s="121"/>
      <c r="AF228" s="121"/>
    </row>
    <row r="229" spans="1:32" s="38" customFormat="1" ht="15.75">
      <c r="A229" s="295"/>
      <c r="B229" s="295"/>
      <c r="C229" s="295"/>
      <c r="D229" s="295"/>
      <c r="E229" s="296"/>
      <c r="F229" s="296"/>
      <c r="G229" s="296"/>
      <c r="H229" s="296"/>
      <c r="I229" s="296"/>
      <c r="J229" s="296"/>
      <c r="K229" s="296"/>
      <c r="L229" s="296"/>
      <c r="M229" s="296"/>
      <c r="N229" s="256" t="s">
        <v>4</v>
      </c>
      <c r="O229" s="256"/>
      <c r="P229" s="256"/>
      <c r="Q229" s="256"/>
      <c r="R229" s="256"/>
      <c r="S229" s="256"/>
      <c r="T229" s="256"/>
      <c r="U229" s="258"/>
      <c r="V229" s="258"/>
      <c r="W229" s="253"/>
      <c r="X229" s="44"/>
      <c r="Y229" s="121"/>
      <c r="Z229" s="121"/>
      <c r="AA229" s="121"/>
      <c r="AB229" s="123"/>
      <c r="AC229" s="123"/>
      <c r="AD229" s="123"/>
      <c r="AE229" s="123"/>
      <c r="AF229" s="123"/>
    </row>
    <row r="230" spans="1:32" s="38" customFormat="1" ht="15.75">
      <c r="A230" s="295" t="s">
        <v>5</v>
      </c>
      <c r="B230" s="295"/>
      <c r="C230" s="295" t="s">
        <v>6</v>
      </c>
      <c r="D230" s="295"/>
      <c r="E230" s="445" t="s">
        <v>183</v>
      </c>
      <c r="F230" s="445"/>
      <c r="G230" s="445"/>
      <c r="H230" s="445"/>
      <c r="I230" s="445"/>
      <c r="J230" s="445"/>
      <c r="K230" s="445"/>
      <c r="L230" s="445"/>
      <c r="M230" s="258"/>
      <c r="N230" s="257" t="s">
        <v>139</v>
      </c>
      <c r="O230" s="257"/>
      <c r="P230" s="257"/>
      <c r="Q230" s="257"/>
      <c r="R230" s="257"/>
      <c r="S230" s="257"/>
      <c r="T230" s="257"/>
      <c r="U230" s="258"/>
      <c r="V230" s="258"/>
      <c r="W230" s="253"/>
      <c r="X230" s="44"/>
      <c r="Y230" s="121"/>
      <c r="Z230" s="121"/>
      <c r="AA230" s="121"/>
      <c r="AB230" s="123"/>
      <c r="AC230" s="123"/>
      <c r="AD230" s="123"/>
      <c r="AE230" s="123"/>
      <c r="AF230" s="123"/>
    </row>
    <row r="231" spans="1:32" s="38" customFormat="1" ht="15.75">
      <c r="A231" s="295"/>
      <c r="B231" s="295"/>
      <c r="C231" s="295"/>
      <c r="D231" s="295"/>
      <c r="E231" s="446" t="s">
        <v>184</v>
      </c>
      <c r="F231" s="446"/>
      <c r="G231" s="446"/>
      <c r="H231" s="446"/>
      <c r="I231" s="446"/>
      <c r="J231" s="446"/>
      <c r="K231" s="446"/>
      <c r="L231" s="446"/>
      <c r="M231" s="446"/>
      <c r="N231" s="296"/>
      <c r="O231" s="296"/>
      <c r="P231" s="296"/>
      <c r="Q231" s="296"/>
      <c r="R231" s="296"/>
      <c r="S231" s="296"/>
      <c r="T231" s="296"/>
      <c r="U231" s="296"/>
      <c r="V231" s="296"/>
      <c r="W231" s="253"/>
      <c r="X231" s="44"/>
      <c r="Y231" s="121"/>
      <c r="Z231" s="121"/>
      <c r="AA231" s="121"/>
      <c r="AB231" s="123"/>
      <c r="AC231" s="123"/>
      <c r="AD231" s="123"/>
      <c r="AE231" s="123"/>
      <c r="AF231" s="123"/>
    </row>
    <row r="232" spans="1:32" s="38" customFormat="1" ht="15.75">
      <c r="A232" s="296"/>
      <c r="B232" s="296"/>
      <c r="C232" s="296"/>
      <c r="D232" s="296"/>
      <c r="E232" s="447" t="s">
        <v>219</v>
      </c>
      <c r="F232" s="447"/>
      <c r="G232" s="447"/>
      <c r="H232" s="447"/>
      <c r="I232" s="447"/>
      <c r="J232" s="447"/>
      <c r="K232" s="447"/>
      <c r="L232" s="447"/>
      <c r="M232" s="447"/>
      <c r="N232" s="296"/>
      <c r="O232" s="296"/>
      <c r="P232" s="296"/>
      <c r="Q232" s="296"/>
      <c r="R232" s="296"/>
      <c r="S232" s="296"/>
      <c r="T232" s="296"/>
      <c r="U232" s="296"/>
      <c r="V232" s="296"/>
      <c r="W232" s="253"/>
      <c r="X232" s="44"/>
      <c r="Y232" s="121"/>
      <c r="Z232" s="121"/>
      <c r="AA232" s="121"/>
      <c r="AB232" s="123"/>
      <c r="AC232" s="123"/>
      <c r="AD232" s="123"/>
      <c r="AE232" s="123"/>
      <c r="AF232" s="123"/>
    </row>
    <row r="233" spans="1:32" s="38" customFormat="1" ht="15.75">
      <c r="A233" s="296"/>
      <c r="B233" s="296"/>
      <c r="C233" s="296"/>
      <c r="D233" s="296"/>
      <c r="E233" s="447" t="s">
        <v>7</v>
      </c>
      <c r="F233" s="447"/>
      <c r="G233" s="447"/>
      <c r="H233" s="447"/>
      <c r="I233" s="447"/>
      <c r="J233" s="447"/>
      <c r="K233" s="447"/>
      <c r="L233" s="447"/>
      <c r="M233" s="447"/>
      <c r="N233" s="296"/>
      <c r="O233" s="296"/>
      <c r="P233" s="296"/>
      <c r="Q233" s="296"/>
      <c r="R233" s="296"/>
      <c r="S233" s="296"/>
      <c r="T233" s="296"/>
      <c r="U233" s="296"/>
      <c r="V233" s="296"/>
      <c r="W233" s="253"/>
      <c r="X233" s="44"/>
      <c r="Y233" s="121"/>
      <c r="Z233" s="121"/>
      <c r="AA233" s="121"/>
      <c r="AB233" s="123"/>
      <c r="AC233" s="123"/>
      <c r="AD233" s="123"/>
      <c r="AE233" s="123"/>
      <c r="AF233" s="123"/>
    </row>
    <row r="234" spans="1:32" s="38" customFormat="1" ht="15.75">
      <c r="A234" s="296"/>
      <c r="B234" s="296"/>
      <c r="C234" s="296"/>
      <c r="D234" s="296"/>
      <c r="E234" s="296"/>
      <c r="F234" s="296"/>
      <c r="G234" s="296"/>
      <c r="H234" s="296"/>
      <c r="I234" s="296"/>
      <c r="J234" s="296"/>
      <c r="K234" s="296"/>
      <c r="L234" s="296"/>
      <c r="M234" s="296"/>
      <c r="N234" s="296"/>
      <c r="O234" s="296"/>
      <c r="P234" s="296"/>
      <c r="Q234" s="296" t="s">
        <v>185</v>
      </c>
      <c r="R234" s="296"/>
      <c r="S234" s="296"/>
      <c r="T234" s="296"/>
      <c r="U234" s="296"/>
      <c r="V234" s="296"/>
      <c r="W234" s="253"/>
      <c r="X234" s="44"/>
      <c r="Y234" s="121"/>
      <c r="Z234" s="121"/>
      <c r="AA234" s="121"/>
      <c r="AB234" s="123"/>
      <c r="AC234" s="123"/>
      <c r="AD234" s="123"/>
      <c r="AE234" s="123"/>
      <c r="AF234" s="123"/>
    </row>
    <row r="235" spans="1:32" s="38" customFormat="1" ht="15.75">
      <c r="A235" s="296"/>
      <c r="B235" s="296"/>
      <c r="C235" s="296"/>
      <c r="D235" s="296"/>
      <c r="E235" s="296"/>
      <c r="F235" s="296"/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 t="s">
        <v>265</v>
      </c>
      <c r="R235" s="296"/>
      <c r="S235" s="296"/>
      <c r="T235" s="296"/>
      <c r="U235" s="296"/>
      <c r="V235" s="296"/>
      <c r="W235" s="253"/>
      <c r="X235" s="44"/>
      <c r="Y235" s="121"/>
      <c r="Z235" s="121"/>
      <c r="AA235" s="121"/>
      <c r="AB235" s="123"/>
      <c r="AC235" s="123"/>
      <c r="AD235" s="123"/>
      <c r="AE235" s="123"/>
      <c r="AF235" s="123"/>
    </row>
    <row r="236" spans="1:32" s="38" customFormat="1" ht="15.75">
      <c r="A236" s="296"/>
      <c r="B236" s="296"/>
      <c r="C236" s="296"/>
      <c r="D236" s="296"/>
      <c r="E236" s="296"/>
      <c r="F236" s="296"/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 t="s">
        <v>186</v>
      </c>
      <c r="R236" s="296"/>
      <c r="S236" s="296"/>
      <c r="T236" s="296" t="s">
        <v>244</v>
      </c>
      <c r="U236" s="296"/>
      <c r="V236" s="296"/>
      <c r="W236" s="253"/>
      <c r="X236" s="44"/>
      <c r="Y236" s="121"/>
      <c r="Z236" s="121"/>
      <c r="AA236" s="121"/>
      <c r="AB236" s="123"/>
      <c r="AC236" s="123"/>
      <c r="AD236" s="123"/>
      <c r="AE236" s="123"/>
      <c r="AF236" s="123"/>
    </row>
    <row r="237" spans="1:32" s="38" customFormat="1" ht="15.75">
      <c r="A237" s="296"/>
      <c r="B237" s="296"/>
      <c r="C237" s="296"/>
      <c r="D237" s="296"/>
      <c r="E237" s="296"/>
      <c r="F237" s="296"/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 t="s">
        <v>188</v>
      </c>
      <c r="R237" s="296"/>
      <c r="S237" s="296"/>
      <c r="T237" s="296">
        <v>4</v>
      </c>
      <c r="U237" s="296"/>
      <c r="V237" s="296"/>
      <c r="W237" s="253"/>
      <c r="X237" s="44"/>
      <c r="Y237" s="121"/>
      <c r="Z237" s="121"/>
      <c r="AA237" s="121"/>
      <c r="AB237" s="123"/>
      <c r="AC237" s="123"/>
      <c r="AD237" s="123"/>
      <c r="AE237" s="123"/>
      <c r="AF237" s="123"/>
    </row>
    <row r="238" spans="1:32" s="38" customFormat="1" ht="15.75">
      <c r="A238" s="296"/>
      <c r="B238" s="296"/>
      <c r="C238" s="296"/>
      <c r="D238" s="296"/>
      <c r="E238" s="296"/>
      <c r="F238" s="296"/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 t="s">
        <v>189</v>
      </c>
      <c r="R238" s="296"/>
      <c r="S238" s="296"/>
      <c r="T238" s="296">
        <v>20</v>
      </c>
      <c r="U238" s="296" t="s">
        <v>190</v>
      </c>
      <c r="V238" s="296"/>
      <c r="W238" s="253"/>
      <c r="X238" s="44"/>
      <c r="Y238" s="121"/>
      <c r="Z238" s="121"/>
      <c r="AA238" s="121"/>
      <c r="AB238" s="123"/>
      <c r="AC238" s="123"/>
      <c r="AD238" s="123"/>
      <c r="AE238" s="123"/>
      <c r="AF238" s="123"/>
    </row>
    <row r="239" spans="1:32" s="38" customFormat="1" ht="15.75">
      <c r="A239" s="296"/>
      <c r="B239" s="296"/>
      <c r="C239" s="296"/>
      <c r="D239" s="296"/>
      <c r="E239" s="296"/>
      <c r="F239" s="296"/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 t="s">
        <v>191</v>
      </c>
      <c r="R239" s="296"/>
      <c r="S239" s="296"/>
      <c r="T239" s="296">
        <v>20</v>
      </c>
      <c r="U239" s="298">
        <f>T239*100/T238</f>
        <v>100</v>
      </c>
      <c r="V239" s="296" t="s">
        <v>17</v>
      </c>
      <c r="W239" s="253"/>
      <c r="X239" s="44"/>
      <c r="Y239" s="121"/>
      <c r="Z239" s="121"/>
      <c r="AA239" s="121"/>
      <c r="AB239" s="123"/>
      <c r="AC239" s="123"/>
      <c r="AD239" s="123"/>
      <c r="AE239" s="123"/>
      <c r="AF239" s="123"/>
    </row>
    <row r="240" spans="1:32" s="38" customFormat="1" ht="15.75">
      <c r="A240" s="296"/>
      <c r="B240" s="296"/>
      <c r="C240" s="296"/>
      <c r="D240" s="296"/>
      <c r="E240" s="296"/>
      <c r="F240" s="296"/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 t="s">
        <v>192</v>
      </c>
      <c r="R240" s="296"/>
      <c r="S240" s="296"/>
      <c r="T240" s="296">
        <v>0</v>
      </c>
      <c r="U240" s="298">
        <f>T240*100/T238</f>
        <v>0</v>
      </c>
      <c r="V240" s="296" t="s">
        <v>17</v>
      </c>
      <c r="W240" s="253"/>
      <c r="X240" s="44"/>
      <c r="Y240" s="121"/>
      <c r="Z240" s="121"/>
      <c r="AA240" s="121"/>
      <c r="AB240" s="123"/>
      <c r="AC240" s="123"/>
      <c r="AD240" s="123"/>
      <c r="AE240" s="123"/>
      <c r="AF240" s="123"/>
    </row>
    <row r="241" spans="1:32" s="38" customFormat="1" ht="15.75">
      <c r="A241" s="296"/>
      <c r="B241" s="296"/>
      <c r="C241" s="296"/>
      <c r="D241" s="296"/>
      <c r="E241" s="296"/>
      <c r="F241" s="296"/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 t="s">
        <v>193</v>
      </c>
      <c r="R241" s="296"/>
      <c r="S241" s="296"/>
      <c r="T241" s="296">
        <f>K257</f>
        <v>154.4</v>
      </c>
      <c r="U241" s="296"/>
      <c r="V241" s="296"/>
      <c r="W241" s="253"/>
      <c r="X241" s="44"/>
      <c r="Y241" s="121"/>
      <c r="Z241" s="121"/>
      <c r="AA241" s="121"/>
      <c r="AB241" s="123"/>
      <c r="AC241" s="123"/>
      <c r="AD241" s="123"/>
      <c r="AE241" s="123"/>
      <c r="AF241" s="123"/>
    </row>
    <row r="242" spans="1:32" s="38" customFormat="1" ht="15.75">
      <c r="A242" s="296"/>
      <c r="B242" s="296" t="s">
        <v>308</v>
      </c>
      <c r="C242" s="296" t="s">
        <v>246</v>
      </c>
      <c r="D242" s="296"/>
      <c r="E242" s="296"/>
      <c r="F242" s="296"/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53"/>
      <c r="X242" s="44"/>
      <c r="Y242" s="121"/>
      <c r="Z242" s="121"/>
      <c r="AA242" s="121"/>
      <c r="AB242" s="123"/>
      <c r="AC242" s="123"/>
      <c r="AD242" s="123"/>
      <c r="AE242" s="123"/>
      <c r="AF242" s="123"/>
    </row>
    <row r="243" spans="1:32" s="38" customFormat="1" ht="15.75">
      <c r="A243" s="438" t="s">
        <v>195</v>
      </c>
      <c r="B243" s="438" t="s">
        <v>196</v>
      </c>
      <c r="C243" s="438" t="s">
        <v>197</v>
      </c>
      <c r="D243" s="438" t="s">
        <v>198</v>
      </c>
      <c r="E243" s="438" t="s">
        <v>10</v>
      </c>
      <c r="F243" s="438" t="s">
        <v>199</v>
      </c>
      <c r="G243" s="438" t="s">
        <v>200</v>
      </c>
      <c r="H243" s="438" t="s">
        <v>201</v>
      </c>
      <c r="I243" s="442" t="s">
        <v>202</v>
      </c>
      <c r="J243" s="438" t="s">
        <v>11</v>
      </c>
      <c r="K243" s="438" t="s">
        <v>203</v>
      </c>
      <c r="L243" s="438" t="s">
        <v>12</v>
      </c>
      <c r="M243" s="441" t="s">
        <v>204</v>
      </c>
      <c r="N243" s="441"/>
      <c r="O243" s="441"/>
      <c r="P243" s="441"/>
      <c r="Q243" s="441"/>
      <c r="R243" s="441"/>
      <c r="S243" s="441"/>
      <c r="T243" s="441"/>
      <c r="U243" s="438" t="s">
        <v>205</v>
      </c>
      <c r="V243" s="438" t="s">
        <v>206</v>
      </c>
      <c r="W243" s="253"/>
      <c r="X243" s="44"/>
      <c r="Y243" s="121"/>
      <c r="Z243" s="121"/>
      <c r="AA243" s="121"/>
      <c r="AB243" s="123"/>
      <c r="AC243" s="123"/>
      <c r="AD243" s="123"/>
      <c r="AE243" s="123"/>
      <c r="AF243" s="123"/>
    </row>
    <row r="244" spans="1:32" s="38" customFormat="1" ht="15.75">
      <c r="A244" s="439"/>
      <c r="B244" s="439"/>
      <c r="C244" s="439"/>
      <c r="D244" s="439"/>
      <c r="E244" s="439"/>
      <c r="F244" s="439"/>
      <c r="G244" s="439"/>
      <c r="H244" s="439"/>
      <c r="I244" s="443"/>
      <c r="J244" s="439"/>
      <c r="K244" s="439"/>
      <c r="L244" s="439"/>
      <c r="M244" s="438" t="s">
        <v>207</v>
      </c>
      <c r="N244" s="438" t="s">
        <v>15</v>
      </c>
      <c r="O244" s="441" t="s">
        <v>16</v>
      </c>
      <c r="P244" s="441"/>
      <c r="Q244" s="441"/>
      <c r="R244" s="438" t="s">
        <v>215</v>
      </c>
      <c r="S244" s="438"/>
      <c r="T244" s="438"/>
      <c r="U244" s="439"/>
      <c r="V244" s="439"/>
      <c r="W244" s="253"/>
      <c r="X244" s="44"/>
      <c r="Y244" s="121"/>
      <c r="Z244" s="121"/>
      <c r="AA244" s="121"/>
      <c r="AB244" s="123"/>
      <c r="AC244" s="123"/>
      <c r="AD244" s="123"/>
      <c r="AE244" s="123"/>
      <c r="AF244" s="123"/>
    </row>
    <row r="245" spans="1:32" s="38" customFormat="1" ht="118.5" customHeight="1">
      <c r="A245" s="440"/>
      <c r="B245" s="440"/>
      <c r="C245" s="440"/>
      <c r="D245" s="440"/>
      <c r="E245" s="440"/>
      <c r="F245" s="440"/>
      <c r="G245" s="440"/>
      <c r="H245" s="440"/>
      <c r="I245" s="444"/>
      <c r="J245" s="440"/>
      <c r="K245" s="440"/>
      <c r="L245" s="440"/>
      <c r="M245" s="440"/>
      <c r="N245" s="440"/>
      <c r="O245" s="261" t="s">
        <v>17</v>
      </c>
      <c r="P245" s="261" t="s">
        <v>18</v>
      </c>
      <c r="Q245" s="261" t="s">
        <v>19</v>
      </c>
      <c r="R245" s="440"/>
      <c r="S245" s="440"/>
      <c r="T245" s="440"/>
      <c r="U245" s="440"/>
      <c r="V245" s="440"/>
      <c r="W245" s="253"/>
      <c r="X245" s="44"/>
      <c r="Y245" s="121"/>
      <c r="Z245" s="121"/>
      <c r="AA245" s="121"/>
      <c r="AB245" s="123"/>
      <c r="AC245" s="123"/>
      <c r="AD245" s="123"/>
      <c r="AE245" s="123"/>
      <c r="AF245" s="123"/>
    </row>
    <row r="246" spans="1:32" s="38" customFormat="1" ht="30">
      <c r="A246" s="261">
        <v>1</v>
      </c>
      <c r="B246" s="269"/>
      <c r="C246" s="269" t="s">
        <v>309</v>
      </c>
      <c r="D246" s="261" t="s">
        <v>51</v>
      </c>
      <c r="E246" s="269" t="s">
        <v>26</v>
      </c>
      <c r="F246" s="269" t="s">
        <v>83</v>
      </c>
      <c r="G246" s="269" t="s">
        <v>160</v>
      </c>
      <c r="H246" s="271" t="s">
        <v>25</v>
      </c>
      <c r="I246" s="271">
        <v>89016</v>
      </c>
      <c r="J246" s="265">
        <f>I246/72</f>
        <v>1236.33</v>
      </c>
      <c r="K246" s="266">
        <v>6.3</v>
      </c>
      <c r="L246" s="267">
        <f>J246*K246</f>
        <v>7789</v>
      </c>
      <c r="M246" s="261"/>
      <c r="N246" s="261"/>
      <c r="O246" s="261"/>
      <c r="P246" s="261"/>
      <c r="Q246" s="267">
        <f>17697*25%/72*P246</f>
        <v>0</v>
      </c>
      <c r="R246" s="267"/>
      <c r="S246" s="267"/>
      <c r="T246" s="267"/>
      <c r="U246" s="267">
        <f t="shared" ref="U246:U254" si="43">L246*10%</f>
        <v>779</v>
      </c>
      <c r="V246" s="267">
        <f t="shared" ref="V246:V256" si="44">M246+N246+Q246+R246+T246+U246+S246+L246</f>
        <v>8568</v>
      </c>
      <c r="W246" s="253"/>
      <c r="X246" s="44"/>
      <c r="Y246" s="121"/>
      <c r="Z246" s="121"/>
      <c r="AA246" s="121"/>
      <c r="AB246" s="123"/>
      <c r="AC246" s="123"/>
      <c r="AD246" s="123"/>
      <c r="AE246" s="123"/>
      <c r="AF246" s="123"/>
    </row>
    <row r="247" spans="1:32" s="38" customFormat="1" ht="84" customHeight="1">
      <c r="A247" s="268">
        <v>2</v>
      </c>
      <c r="B247" s="272"/>
      <c r="C247" s="270" t="s">
        <v>310</v>
      </c>
      <c r="D247" s="261" t="s">
        <v>51</v>
      </c>
      <c r="E247" s="269" t="s">
        <v>80</v>
      </c>
      <c r="F247" s="269" t="s">
        <v>130</v>
      </c>
      <c r="G247" s="269" t="s">
        <v>174</v>
      </c>
      <c r="H247" s="264" t="s">
        <v>25</v>
      </c>
      <c r="I247" s="271">
        <v>89016</v>
      </c>
      <c r="J247" s="265">
        <f t="shared" ref="J247:J256" si="45">I247/72</f>
        <v>1236.33</v>
      </c>
      <c r="K247" s="265">
        <f>3.6+6</f>
        <v>9.6</v>
      </c>
      <c r="L247" s="267">
        <f t="shared" ref="L247:L256" si="46">J247*K247</f>
        <v>11869</v>
      </c>
      <c r="M247" s="261"/>
      <c r="N247" s="261"/>
      <c r="O247" s="318"/>
      <c r="P247" s="261"/>
      <c r="Q247" s="267">
        <f t="shared" ref="Q247:Q249" si="47">17697*25%/72*P247</f>
        <v>0</v>
      </c>
      <c r="R247" s="261"/>
      <c r="S247" s="261"/>
      <c r="T247" s="267"/>
      <c r="U247" s="267">
        <f t="shared" si="43"/>
        <v>1187</v>
      </c>
      <c r="V247" s="267">
        <f t="shared" si="44"/>
        <v>13056</v>
      </c>
      <c r="W247" s="253"/>
      <c r="X247" s="44"/>
      <c r="Y247" s="121"/>
      <c r="Z247" s="121"/>
      <c r="AA247" s="121"/>
      <c r="AB247" s="123"/>
      <c r="AC247" s="123"/>
      <c r="AD247" s="123"/>
      <c r="AE247" s="123"/>
      <c r="AF247" s="123"/>
    </row>
    <row r="248" spans="1:32" s="38" customFormat="1" ht="33.75" customHeight="1">
      <c r="A248" s="261">
        <v>3</v>
      </c>
      <c r="B248" s="269"/>
      <c r="C248" s="269" t="s">
        <v>311</v>
      </c>
      <c r="D248" s="269" t="s">
        <v>21</v>
      </c>
      <c r="E248" s="275" t="s">
        <v>26</v>
      </c>
      <c r="F248" s="269" t="s">
        <v>119</v>
      </c>
      <c r="G248" s="269" t="s">
        <v>123</v>
      </c>
      <c r="H248" s="271" t="s">
        <v>25</v>
      </c>
      <c r="I248" s="271">
        <v>89016</v>
      </c>
      <c r="J248" s="265">
        <f t="shared" si="45"/>
        <v>1236.33</v>
      </c>
      <c r="K248" s="265">
        <v>10.1</v>
      </c>
      <c r="L248" s="267">
        <f t="shared" si="46"/>
        <v>12487</v>
      </c>
      <c r="M248" s="261"/>
      <c r="N248" s="261"/>
      <c r="O248" s="261"/>
      <c r="P248" s="261"/>
      <c r="Q248" s="267">
        <f t="shared" si="47"/>
        <v>0</v>
      </c>
      <c r="R248" s="261"/>
      <c r="S248" s="261"/>
      <c r="T248" s="267"/>
      <c r="U248" s="267">
        <f t="shared" si="43"/>
        <v>1249</v>
      </c>
      <c r="V248" s="267">
        <f t="shared" si="44"/>
        <v>13736</v>
      </c>
      <c r="W248" s="253"/>
      <c r="X248" s="44"/>
      <c r="Y248" s="121"/>
      <c r="Z248" s="121"/>
      <c r="AA248" s="121"/>
      <c r="AB248" s="123"/>
      <c r="AC248" s="123"/>
      <c r="AD248" s="123"/>
      <c r="AE248" s="123"/>
      <c r="AF248" s="123"/>
    </row>
    <row r="249" spans="1:32" s="38" customFormat="1" ht="60">
      <c r="A249" s="268">
        <v>4</v>
      </c>
      <c r="B249" s="269"/>
      <c r="C249" s="270" t="s">
        <v>312</v>
      </c>
      <c r="D249" s="269" t="s">
        <v>21</v>
      </c>
      <c r="E249" s="269" t="s">
        <v>230</v>
      </c>
      <c r="F249" s="275" t="s">
        <v>231</v>
      </c>
      <c r="G249" s="281" t="s">
        <v>170</v>
      </c>
      <c r="H249" s="271" t="s">
        <v>25</v>
      </c>
      <c r="I249" s="271">
        <v>93971</v>
      </c>
      <c r="J249" s="265">
        <f t="shared" si="45"/>
        <v>1305.1500000000001</v>
      </c>
      <c r="K249" s="265">
        <v>6.1</v>
      </c>
      <c r="L249" s="267">
        <f t="shared" si="46"/>
        <v>7961</v>
      </c>
      <c r="M249" s="261"/>
      <c r="N249" s="261"/>
      <c r="O249" s="261"/>
      <c r="P249" s="261"/>
      <c r="Q249" s="267">
        <f t="shared" si="47"/>
        <v>0</v>
      </c>
      <c r="R249" s="261"/>
      <c r="S249" s="261"/>
      <c r="T249" s="267"/>
      <c r="U249" s="267">
        <f t="shared" si="43"/>
        <v>796</v>
      </c>
      <c r="V249" s="267">
        <f t="shared" si="44"/>
        <v>8757</v>
      </c>
      <c r="W249" s="253"/>
      <c r="X249" s="44"/>
      <c r="Y249" s="121"/>
      <c r="Z249" s="121"/>
      <c r="AA249" s="121"/>
      <c r="AB249" s="123"/>
      <c r="AC249" s="123"/>
      <c r="AD249" s="123"/>
      <c r="AE249" s="123"/>
      <c r="AF249" s="123"/>
    </row>
    <row r="250" spans="1:32" s="38" customFormat="1" ht="67.5" customHeight="1">
      <c r="A250" s="261">
        <v>5</v>
      </c>
      <c r="B250" s="275"/>
      <c r="C250" s="270" t="s">
        <v>313</v>
      </c>
      <c r="D250" s="261" t="s">
        <v>51</v>
      </c>
      <c r="E250" s="276" t="s">
        <v>38</v>
      </c>
      <c r="F250" s="275" t="s">
        <v>109</v>
      </c>
      <c r="G250" s="276" t="s">
        <v>168</v>
      </c>
      <c r="H250" s="271" t="s">
        <v>25</v>
      </c>
      <c r="I250" s="319">
        <v>92201</v>
      </c>
      <c r="J250" s="265">
        <f t="shared" si="45"/>
        <v>1280.57</v>
      </c>
      <c r="K250" s="265">
        <v>4.2</v>
      </c>
      <c r="L250" s="267">
        <f t="shared" si="46"/>
        <v>5378</v>
      </c>
      <c r="M250" s="261"/>
      <c r="N250" s="261"/>
      <c r="O250" s="261"/>
      <c r="P250" s="261"/>
      <c r="Q250" s="267">
        <f>17697*20%/72*P250</f>
        <v>0</v>
      </c>
      <c r="R250" s="261"/>
      <c r="S250" s="261"/>
      <c r="T250" s="267"/>
      <c r="U250" s="267">
        <f t="shared" si="43"/>
        <v>538</v>
      </c>
      <c r="V250" s="267">
        <f t="shared" si="44"/>
        <v>5916</v>
      </c>
      <c r="W250" s="253"/>
      <c r="X250" s="44"/>
      <c r="Y250" s="121"/>
      <c r="Z250" s="121"/>
      <c r="AA250" s="121"/>
      <c r="AB250" s="123"/>
      <c r="AC250" s="123"/>
      <c r="AD250" s="123"/>
      <c r="AE250" s="123"/>
      <c r="AF250" s="123"/>
    </row>
    <row r="251" spans="1:32" s="38" customFormat="1" ht="25.5" customHeight="1">
      <c r="A251" s="268">
        <v>6</v>
      </c>
      <c r="B251" s="275"/>
      <c r="C251" s="275" t="s">
        <v>100</v>
      </c>
      <c r="D251" s="261" t="s">
        <v>51</v>
      </c>
      <c r="E251" s="276"/>
      <c r="F251" s="282"/>
      <c r="G251" s="276" t="s">
        <v>50</v>
      </c>
      <c r="H251" s="271" t="s">
        <v>42</v>
      </c>
      <c r="I251" s="271">
        <v>85653</v>
      </c>
      <c r="J251" s="265">
        <f t="shared" si="45"/>
        <v>1189.6300000000001</v>
      </c>
      <c r="K251" s="302">
        <v>5.3</v>
      </c>
      <c r="L251" s="267">
        <f t="shared" si="46"/>
        <v>6305</v>
      </c>
      <c r="M251" s="304"/>
      <c r="N251" s="304"/>
      <c r="O251" s="304"/>
      <c r="P251" s="304"/>
      <c r="Q251" s="305"/>
      <c r="R251" s="304"/>
      <c r="S251" s="304"/>
      <c r="T251" s="305"/>
      <c r="U251" s="267">
        <f t="shared" si="43"/>
        <v>631</v>
      </c>
      <c r="V251" s="267">
        <f t="shared" si="44"/>
        <v>6936</v>
      </c>
      <c r="W251" s="253"/>
      <c r="X251" s="44"/>
      <c r="Y251" s="121"/>
      <c r="Z251" s="121"/>
      <c r="AA251" s="121"/>
      <c r="AB251" s="123"/>
      <c r="AC251" s="123"/>
      <c r="AD251" s="123"/>
      <c r="AE251" s="123"/>
      <c r="AF251" s="123"/>
    </row>
    <row r="252" spans="1:32" s="38" customFormat="1" ht="30">
      <c r="A252" s="261">
        <v>7</v>
      </c>
      <c r="B252" s="275"/>
      <c r="C252" s="275" t="s">
        <v>314</v>
      </c>
      <c r="D252" s="261" t="s">
        <v>51</v>
      </c>
      <c r="E252" s="276"/>
      <c r="F252" s="282"/>
      <c r="G252" s="276" t="s">
        <v>50</v>
      </c>
      <c r="H252" s="271" t="s">
        <v>42</v>
      </c>
      <c r="I252" s="271">
        <v>85653</v>
      </c>
      <c r="J252" s="265">
        <f t="shared" si="45"/>
        <v>1189.6300000000001</v>
      </c>
      <c r="K252" s="302">
        <v>57.6</v>
      </c>
      <c r="L252" s="267">
        <f t="shared" si="46"/>
        <v>68523</v>
      </c>
      <c r="M252" s="304"/>
      <c r="N252" s="304"/>
      <c r="O252" s="304"/>
      <c r="P252" s="304"/>
      <c r="Q252" s="305"/>
      <c r="R252" s="304"/>
      <c r="S252" s="304"/>
      <c r="T252" s="305"/>
      <c r="U252" s="267">
        <f t="shared" si="43"/>
        <v>6852</v>
      </c>
      <c r="V252" s="267">
        <f t="shared" si="44"/>
        <v>75375</v>
      </c>
      <c r="W252" s="253"/>
      <c r="X252" s="44"/>
      <c r="Y252" s="121"/>
      <c r="Z252" s="121"/>
      <c r="AA252" s="121"/>
      <c r="AB252" s="123"/>
      <c r="AC252" s="123"/>
      <c r="AD252" s="123"/>
      <c r="AE252" s="123"/>
      <c r="AF252" s="123"/>
    </row>
    <row r="253" spans="1:32" s="38" customFormat="1" ht="36.75" customHeight="1">
      <c r="A253" s="268">
        <v>8</v>
      </c>
      <c r="B253" s="275"/>
      <c r="C253" s="275" t="s">
        <v>315</v>
      </c>
      <c r="D253" s="261" t="s">
        <v>51</v>
      </c>
      <c r="E253" s="276"/>
      <c r="F253" s="282"/>
      <c r="G253" s="276" t="s">
        <v>50</v>
      </c>
      <c r="H253" s="271" t="s">
        <v>42</v>
      </c>
      <c r="I253" s="271">
        <v>85653</v>
      </c>
      <c r="J253" s="265">
        <f t="shared" si="45"/>
        <v>1189.6300000000001</v>
      </c>
      <c r="K253" s="302">
        <v>25.2</v>
      </c>
      <c r="L253" s="267">
        <f t="shared" si="46"/>
        <v>29979</v>
      </c>
      <c r="M253" s="304"/>
      <c r="N253" s="304"/>
      <c r="O253" s="304"/>
      <c r="P253" s="304"/>
      <c r="Q253" s="305"/>
      <c r="R253" s="304"/>
      <c r="S253" s="304"/>
      <c r="T253" s="305"/>
      <c r="U253" s="267">
        <f t="shared" si="43"/>
        <v>2998</v>
      </c>
      <c r="V253" s="267">
        <f t="shared" si="44"/>
        <v>32977</v>
      </c>
      <c r="W253" s="253"/>
      <c r="X253" s="44"/>
      <c r="Y253" s="121"/>
      <c r="Z253" s="121"/>
      <c r="AA253" s="121"/>
      <c r="AB253" s="123"/>
      <c r="AC253" s="123"/>
      <c r="AD253" s="123"/>
      <c r="AE253" s="123"/>
      <c r="AF253" s="123"/>
    </row>
    <row r="254" spans="1:32" s="38" customFormat="1" ht="43.5" customHeight="1">
      <c r="A254" s="261">
        <v>9</v>
      </c>
      <c r="B254" s="275"/>
      <c r="C254" s="270" t="s">
        <v>347</v>
      </c>
      <c r="D254" s="261" t="s">
        <v>51</v>
      </c>
      <c r="E254" s="276"/>
      <c r="F254" s="282"/>
      <c r="G254" s="276" t="s">
        <v>50</v>
      </c>
      <c r="H254" s="271" t="s">
        <v>42</v>
      </c>
      <c r="I254" s="271">
        <v>85653</v>
      </c>
      <c r="J254" s="265">
        <f t="shared" si="45"/>
        <v>1189.6300000000001</v>
      </c>
      <c r="K254" s="302">
        <v>3.6</v>
      </c>
      <c r="L254" s="267">
        <f t="shared" si="46"/>
        <v>4283</v>
      </c>
      <c r="M254" s="304"/>
      <c r="N254" s="304"/>
      <c r="O254" s="304"/>
      <c r="P254" s="304"/>
      <c r="Q254" s="305"/>
      <c r="R254" s="304"/>
      <c r="S254" s="304"/>
      <c r="T254" s="305"/>
      <c r="U254" s="267">
        <f t="shared" si="43"/>
        <v>428</v>
      </c>
      <c r="V254" s="267">
        <f t="shared" si="44"/>
        <v>4711</v>
      </c>
      <c r="W254" s="253"/>
      <c r="X254" s="44"/>
      <c r="Y254" s="121"/>
      <c r="Z254" s="121"/>
      <c r="AA254" s="121"/>
      <c r="AB254" s="123"/>
      <c r="AC254" s="123"/>
      <c r="AD254" s="123"/>
      <c r="AE254" s="123"/>
      <c r="AF254" s="123"/>
    </row>
    <row r="255" spans="1:32" s="38" customFormat="1" ht="15.75">
      <c r="A255" s="268">
        <v>10</v>
      </c>
      <c r="B255" s="275"/>
      <c r="C255" s="320" t="s">
        <v>493</v>
      </c>
      <c r="D255" s="261"/>
      <c r="E255" s="282"/>
      <c r="F255" s="282"/>
      <c r="G255" s="276"/>
      <c r="H255" s="271"/>
      <c r="I255" s="271"/>
      <c r="J255" s="265"/>
      <c r="K255" s="302"/>
      <c r="L255" s="267"/>
      <c r="M255" s="304">
        <v>4424</v>
      </c>
      <c r="N255" s="304"/>
      <c r="O255" s="304"/>
      <c r="P255" s="304"/>
      <c r="Q255" s="305"/>
      <c r="R255" s="304"/>
      <c r="S255" s="304"/>
      <c r="T255" s="305"/>
      <c r="U255" s="267"/>
      <c r="V255" s="267">
        <f t="shared" si="44"/>
        <v>4424</v>
      </c>
      <c r="W255" s="253"/>
      <c r="X255" s="44"/>
      <c r="Y255" s="121"/>
      <c r="Z255" s="121"/>
      <c r="AA255" s="121"/>
      <c r="AB255" s="123"/>
      <c r="AC255" s="123"/>
      <c r="AD255" s="123"/>
      <c r="AE255" s="123"/>
      <c r="AF255" s="123"/>
    </row>
    <row r="256" spans="1:32" s="38" customFormat="1" ht="50.25" customHeight="1">
      <c r="A256" s="261">
        <v>11</v>
      </c>
      <c r="B256" s="275"/>
      <c r="C256" s="286" t="s">
        <v>316</v>
      </c>
      <c r="D256" s="261" t="s">
        <v>51</v>
      </c>
      <c r="E256" s="287"/>
      <c r="F256" s="287"/>
      <c r="G256" s="276" t="s">
        <v>50</v>
      </c>
      <c r="H256" s="271" t="s">
        <v>42</v>
      </c>
      <c r="I256" s="271">
        <v>85653</v>
      </c>
      <c r="J256" s="265">
        <f t="shared" si="45"/>
        <v>1189.6300000000001</v>
      </c>
      <c r="K256" s="304">
        <f>2+2+10+7.2+5.2</f>
        <v>26.4</v>
      </c>
      <c r="L256" s="267">
        <f t="shared" si="46"/>
        <v>31406</v>
      </c>
      <c r="M256" s="304"/>
      <c r="N256" s="304"/>
      <c r="O256" s="304"/>
      <c r="P256" s="304"/>
      <c r="Q256" s="305"/>
      <c r="R256" s="304"/>
      <c r="S256" s="304"/>
      <c r="T256" s="305"/>
      <c r="U256" s="267">
        <f>L256*10%</f>
        <v>3141</v>
      </c>
      <c r="V256" s="267">
        <f t="shared" si="44"/>
        <v>34547</v>
      </c>
      <c r="W256" s="253"/>
      <c r="X256" s="44"/>
      <c r="Y256" s="121"/>
      <c r="Z256" s="121"/>
      <c r="AA256" s="121"/>
      <c r="AB256" s="123"/>
      <c r="AC256" s="123"/>
      <c r="AD256" s="123"/>
      <c r="AE256" s="123"/>
      <c r="AF256" s="123"/>
    </row>
    <row r="257" spans="1:32" s="38" customFormat="1" ht="15.75">
      <c r="A257" s="261"/>
      <c r="B257" s="261" t="s">
        <v>8</v>
      </c>
      <c r="C257" s="261"/>
      <c r="D257" s="261"/>
      <c r="E257" s="261"/>
      <c r="F257" s="261"/>
      <c r="G257" s="261"/>
      <c r="H257" s="261"/>
      <c r="I257" s="261"/>
      <c r="J257" s="265"/>
      <c r="K257" s="265">
        <f>SUM(K246:K256)</f>
        <v>154.4</v>
      </c>
      <c r="L257" s="265">
        <f t="shared" ref="L257:V257" si="48">SUM(L246:L256)</f>
        <v>185980</v>
      </c>
      <c r="M257" s="265">
        <f t="shared" si="48"/>
        <v>4424</v>
      </c>
      <c r="N257" s="265">
        <f t="shared" si="48"/>
        <v>0</v>
      </c>
      <c r="O257" s="265"/>
      <c r="P257" s="265">
        <f t="shared" si="48"/>
        <v>0</v>
      </c>
      <c r="Q257" s="265">
        <f t="shared" si="48"/>
        <v>0</v>
      </c>
      <c r="R257" s="265">
        <f t="shared" si="48"/>
        <v>0</v>
      </c>
      <c r="S257" s="265">
        <f t="shared" si="48"/>
        <v>0</v>
      </c>
      <c r="T257" s="265">
        <f t="shared" si="48"/>
        <v>0</v>
      </c>
      <c r="U257" s="265">
        <f t="shared" si="48"/>
        <v>18599</v>
      </c>
      <c r="V257" s="265">
        <f t="shared" si="48"/>
        <v>209003</v>
      </c>
      <c r="W257" s="253"/>
      <c r="X257" s="44"/>
      <c r="Y257" s="121"/>
      <c r="Z257" s="121"/>
      <c r="AA257" s="121"/>
      <c r="AB257" s="123"/>
      <c r="AC257" s="123"/>
      <c r="AD257" s="123"/>
      <c r="AE257" s="123"/>
      <c r="AF257" s="123"/>
    </row>
    <row r="258" spans="1:32" s="38" customFormat="1" ht="15.75">
      <c r="A258" s="296"/>
      <c r="B258" s="296"/>
      <c r="C258" s="296"/>
      <c r="D258" s="296"/>
      <c r="E258" s="296"/>
      <c r="F258" s="296"/>
      <c r="G258" s="296"/>
      <c r="H258" s="296"/>
      <c r="I258" s="296"/>
      <c r="J258" s="296"/>
      <c r="K258" s="298"/>
      <c r="L258" s="296"/>
      <c r="M258" s="296"/>
      <c r="N258" s="290" t="s">
        <v>213</v>
      </c>
      <c r="O258" s="290"/>
      <c r="P258" s="290"/>
      <c r="Q258" s="290"/>
      <c r="R258" s="291"/>
      <c r="S258" s="291"/>
      <c r="T258" s="296"/>
      <c r="U258" s="296"/>
      <c r="V258" s="296"/>
      <c r="W258" s="253"/>
      <c r="X258" s="44"/>
      <c r="Y258" s="121"/>
      <c r="Z258" s="121"/>
      <c r="AA258" s="121"/>
      <c r="AB258" s="123"/>
      <c r="AC258" s="123"/>
      <c r="AD258" s="123"/>
      <c r="AE258" s="123"/>
      <c r="AF258" s="123"/>
    </row>
    <row r="259" spans="1:32" s="38" customFormat="1" ht="15.75">
      <c r="A259" s="321"/>
      <c r="B259" s="318"/>
      <c r="C259" s="318"/>
      <c r="D259" s="318"/>
      <c r="E259" s="318"/>
      <c r="F259" s="318"/>
      <c r="G259" s="318"/>
      <c r="H259" s="318"/>
      <c r="I259" s="318"/>
      <c r="J259" s="318"/>
      <c r="K259" s="318"/>
      <c r="L259" s="318"/>
      <c r="M259" s="318"/>
      <c r="N259" s="318"/>
      <c r="O259" s="318"/>
      <c r="P259" s="318"/>
      <c r="Q259" s="318"/>
      <c r="R259" s="318"/>
      <c r="S259" s="318"/>
      <c r="T259" s="318"/>
      <c r="U259" s="318"/>
      <c r="V259" s="318"/>
      <c r="W259" s="253"/>
      <c r="X259" s="44"/>
      <c r="Y259" s="121"/>
      <c r="Z259" s="121"/>
      <c r="AA259" s="121"/>
      <c r="AB259" s="123"/>
      <c r="AC259" s="123"/>
      <c r="AD259" s="123"/>
      <c r="AE259" s="123"/>
      <c r="AF259" s="123"/>
    </row>
    <row r="260" spans="1:32" s="38" customFormat="1" ht="15.75">
      <c r="A260" s="321"/>
      <c r="B260" s="318"/>
      <c r="C260" s="318"/>
      <c r="D260" s="318"/>
      <c r="E260" s="318"/>
      <c r="F260" s="318"/>
      <c r="G260" s="318"/>
      <c r="H260" s="318"/>
      <c r="I260" s="318"/>
      <c r="J260" s="318"/>
      <c r="K260" s="318"/>
      <c r="L260" s="318"/>
      <c r="M260" s="318"/>
      <c r="N260" s="318"/>
      <c r="O260" s="318"/>
      <c r="P260" s="318"/>
      <c r="Q260" s="318"/>
      <c r="R260" s="318"/>
      <c r="S260" s="318"/>
      <c r="T260" s="318"/>
      <c r="U260" s="318"/>
      <c r="V260" s="318"/>
      <c r="W260" s="253"/>
      <c r="X260" s="44"/>
      <c r="Y260" s="121"/>
      <c r="Z260" s="121"/>
      <c r="AA260" s="121"/>
      <c r="AB260" s="123"/>
      <c r="AC260" s="123"/>
      <c r="AD260" s="123"/>
      <c r="AE260" s="123"/>
      <c r="AF260" s="123"/>
    </row>
    <row r="261" spans="1:32" s="38" customFormat="1" ht="15.75">
      <c r="A261" s="321"/>
      <c r="B261" s="318"/>
      <c r="C261" s="318"/>
      <c r="D261" s="318"/>
      <c r="E261" s="318"/>
      <c r="F261" s="318"/>
      <c r="G261" s="318"/>
      <c r="H261" s="318"/>
      <c r="I261" s="318"/>
      <c r="J261" s="318"/>
      <c r="K261" s="318"/>
      <c r="L261" s="318"/>
      <c r="M261" s="318"/>
      <c r="N261" s="318"/>
      <c r="O261" s="318"/>
      <c r="P261" s="318"/>
      <c r="Q261" s="318"/>
      <c r="R261" s="318"/>
      <c r="S261" s="318"/>
      <c r="T261" s="318"/>
      <c r="U261" s="318"/>
      <c r="V261" s="318"/>
      <c r="W261" s="253"/>
      <c r="X261" s="44"/>
      <c r="Y261" s="121"/>
      <c r="Z261" s="121"/>
      <c r="AA261" s="121"/>
      <c r="AB261" s="123"/>
      <c r="AC261" s="123"/>
      <c r="AD261" s="123"/>
      <c r="AE261" s="123"/>
      <c r="AF261" s="123"/>
    </row>
    <row r="262" spans="1:32" s="38" customFormat="1" ht="15.75">
      <c r="A262" s="321"/>
      <c r="B262" s="318"/>
      <c r="C262" s="318"/>
      <c r="D262" s="318"/>
      <c r="E262" s="318"/>
      <c r="F262" s="318"/>
      <c r="G262" s="318"/>
      <c r="H262" s="318"/>
      <c r="I262" s="318"/>
      <c r="J262" s="318"/>
      <c r="K262" s="318"/>
      <c r="L262" s="318"/>
      <c r="M262" s="318"/>
      <c r="N262" s="318"/>
      <c r="O262" s="318"/>
      <c r="P262" s="318"/>
      <c r="Q262" s="318"/>
      <c r="R262" s="318"/>
      <c r="S262" s="318"/>
      <c r="T262" s="318"/>
      <c r="U262" s="318"/>
      <c r="V262" s="318"/>
      <c r="W262" s="253"/>
      <c r="X262" s="44"/>
      <c r="Y262" s="121"/>
      <c r="Z262" s="121"/>
      <c r="AA262" s="121"/>
      <c r="AB262" s="123"/>
      <c r="AC262" s="123"/>
      <c r="AD262" s="123"/>
      <c r="AE262" s="123"/>
      <c r="AF262" s="123"/>
    </row>
    <row r="263" spans="1:32" s="38" customFormat="1" ht="15.75">
      <c r="A263" s="321"/>
      <c r="B263" s="318"/>
      <c r="C263" s="318"/>
      <c r="D263" s="318"/>
      <c r="E263" s="318"/>
      <c r="F263" s="318"/>
      <c r="G263" s="318"/>
      <c r="H263" s="318"/>
      <c r="I263" s="318"/>
      <c r="J263" s="318"/>
      <c r="K263" s="318"/>
      <c r="L263" s="318"/>
      <c r="M263" s="318"/>
      <c r="N263" s="318"/>
      <c r="O263" s="318"/>
      <c r="P263" s="318"/>
      <c r="Q263" s="318"/>
      <c r="R263" s="318"/>
      <c r="S263" s="318"/>
      <c r="T263" s="318"/>
      <c r="U263" s="318"/>
      <c r="V263" s="318"/>
      <c r="W263" s="253"/>
      <c r="X263" s="44"/>
      <c r="Y263" s="121"/>
      <c r="Z263" s="121"/>
      <c r="AA263" s="121"/>
      <c r="AB263" s="123"/>
      <c r="AC263" s="123"/>
      <c r="AD263" s="123"/>
      <c r="AE263" s="123"/>
      <c r="AF263" s="123"/>
    </row>
    <row r="264" spans="1:32" s="38" customFormat="1" ht="15.75">
      <c r="A264" s="321"/>
      <c r="B264" s="318"/>
      <c r="C264" s="318"/>
      <c r="D264" s="318"/>
      <c r="E264" s="318"/>
      <c r="F264" s="318"/>
      <c r="G264" s="318"/>
      <c r="H264" s="318"/>
      <c r="I264" s="318"/>
      <c r="J264" s="318"/>
      <c r="K264" s="318"/>
      <c r="L264" s="318"/>
      <c r="M264" s="318"/>
      <c r="N264" s="318"/>
      <c r="O264" s="318"/>
      <c r="P264" s="318"/>
      <c r="Q264" s="318"/>
      <c r="R264" s="318"/>
      <c r="S264" s="318"/>
      <c r="T264" s="318"/>
      <c r="U264" s="318"/>
      <c r="V264" s="318"/>
      <c r="W264" s="253"/>
      <c r="X264" s="44"/>
      <c r="Y264" s="121"/>
      <c r="Z264" s="121"/>
      <c r="AA264" s="121"/>
      <c r="AB264" s="123"/>
      <c r="AC264" s="123"/>
      <c r="AD264" s="123"/>
      <c r="AE264" s="123"/>
      <c r="AF264" s="123"/>
    </row>
    <row r="265" spans="1:32" s="38" customFormat="1" ht="15.75">
      <c r="A265" s="321"/>
      <c r="B265" s="318"/>
      <c r="C265" s="318"/>
      <c r="D265" s="318"/>
      <c r="E265" s="318"/>
      <c r="F265" s="318"/>
      <c r="G265" s="318"/>
      <c r="H265" s="318"/>
      <c r="I265" s="318"/>
      <c r="J265" s="318"/>
      <c r="K265" s="318"/>
      <c r="L265" s="318"/>
      <c r="M265" s="318"/>
      <c r="N265" s="318"/>
      <c r="O265" s="318"/>
      <c r="P265" s="318"/>
      <c r="Q265" s="318"/>
      <c r="R265" s="318"/>
      <c r="S265" s="318"/>
      <c r="T265" s="318"/>
      <c r="U265" s="318"/>
      <c r="V265" s="318"/>
      <c r="W265" s="253"/>
      <c r="X265" s="44"/>
      <c r="Y265" s="121"/>
      <c r="Z265" s="121"/>
      <c r="AA265" s="121"/>
      <c r="AB265" s="123"/>
      <c r="AC265" s="123"/>
      <c r="AD265" s="123"/>
      <c r="AE265" s="123"/>
      <c r="AF265" s="123"/>
    </row>
    <row r="266" spans="1:32" s="38" customFormat="1" ht="15.75">
      <c r="A266" s="321"/>
      <c r="B266" s="318"/>
      <c r="C266" s="318"/>
      <c r="D266" s="318"/>
      <c r="E266" s="318"/>
      <c r="F266" s="318"/>
      <c r="G266" s="318"/>
      <c r="H266" s="318"/>
      <c r="I266" s="318"/>
      <c r="J266" s="318"/>
      <c r="K266" s="318"/>
      <c r="L266" s="318"/>
      <c r="M266" s="318"/>
      <c r="N266" s="318"/>
      <c r="O266" s="318"/>
      <c r="P266" s="318"/>
      <c r="Q266" s="318"/>
      <c r="R266" s="318"/>
      <c r="S266" s="318"/>
      <c r="T266" s="318"/>
      <c r="U266" s="318"/>
      <c r="V266" s="318"/>
      <c r="W266" s="253"/>
      <c r="X266" s="44"/>
      <c r="Y266" s="121"/>
      <c r="Z266" s="121"/>
      <c r="AA266" s="121"/>
      <c r="AB266" s="123"/>
      <c r="AC266" s="123"/>
      <c r="AD266" s="123"/>
      <c r="AE266" s="123"/>
      <c r="AF266" s="123"/>
    </row>
    <row r="267" spans="1:32" s="38" customFormat="1" ht="15.75">
      <c r="A267" s="321"/>
      <c r="B267" s="318"/>
      <c r="C267" s="318"/>
      <c r="D267" s="318"/>
      <c r="E267" s="318"/>
      <c r="F267" s="318"/>
      <c r="G267" s="318"/>
      <c r="H267" s="318"/>
      <c r="I267" s="318"/>
      <c r="J267" s="318"/>
      <c r="K267" s="318"/>
      <c r="L267" s="318"/>
      <c r="M267" s="318"/>
      <c r="N267" s="318"/>
      <c r="O267" s="318"/>
      <c r="P267" s="318"/>
      <c r="Q267" s="318"/>
      <c r="R267" s="318"/>
      <c r="S267" s="318"/>
      <c r="T267" s="318"/>
      <c r="U267" s="318"/>
      <c r="V267" s="318"/>
      <c r="W267" s="253"/>
      <c r="X267" s="44"/>
      <c r="Y267" s="121"/>
      <c r="Z267" s="121"/>
      <c r="AA267" s="121"/>
      <c r="AB267" s="123"/>
      <c r="AC267" s="123"/>
      <c r="AD267" s="123"/>
      <c r="AE267" s="123"/>
      <c r="AF267" s="123"/>
    </row>
    <row r="268" spans="1:32" s="38" customFormat="1" ht="15.75">
      <c r="A268" s="321"/>
      <c r="B268" s="318"/>
      <c r="C268" s="318"/>
      <c r="D268" s="318"/>
      <c r="E268" s="318"/>
      <c r="F268" s="318"/>
      <c r="G268" s="318"/>
      <c r="H268" s="318"/>
      <c r="I268" s="318"/>
      <c r="J268" s="318"/>
      <c r="K268" s="318"/>
      <c r="L268" s="318"/>
      <c r="M268" s="318"/>
      <c r="N268" s="318"/>
      <c r="O268" s="318"/>
      <c r="P268" s="318"/>
      <c r="Q268" s="318"/>
      <c r="R268" s="318"/>
      <c r="S268" s="318"/>
      <c r="T268" s="318"/>
      <c r="U268" s="318"/>
      <c r="V268" s="318"/>
      <c r="W268" s="253"/>
      <c r="X268" s="44"/>
      <c r="Y268" s="121"/>
      <c r="Z268" s="121"/>
      <c r="AA268" s="121"/>
      <c r="AB268" s="123"/>
      <c r="AC268" s="123"/>
      <c r="AD268" s="123"/>
      <c r="AE268" s="123"/>
      <c r="AF268" s="123"/>
    </row>
    <row r="269" spans="1:32" s="38" customFormat="1" ht="15.75">
      <c r="A269" s="321"/>
      <c r="B269" s="318"/>
      <c r="C269" s="318"/>
      <c r="D269" s="318"/>
      <c r="E269" s="318"/>
      <c r="F269" s="318"/>
      <c r="G269" s="318"/>
      <c r="H269" s="318"/>
      <c r="I269" s="318"/>
      <c r="J269" s="318"/>
      <c r="K269" s="318"/>
      <c r="L269" s="318"/>
      <c r="M269" s="318"/>
      <c r="N269" s="318"/>
      <c r="O269" s="318"/>
      <c r="P269" s="318"/>
      <c r="Q269" s="318"/>
      <c r="R269" s="318"/>
      <c r="S269" s="318"/>
      <c r="T269" s="318"/>
      <c r="U269" s="318"/>
      <c r="V269" s="318"/>
      <c r="W269" s="253"/>
      <c r="X269" s="44"/>
      <c r="Y269" s="121"/>
      <c r="Z269" s="121"/>
      <c r="AA269" s="121"/>
      <c r="AB269" s="123"/>
      <c r="AC269" s="123"/>
      <c r="AD269" s="123"/>
      <c r="AE269" s="123"/>
      <c r="AF269" s="123"/>
    </row>
    <row r="270" spans="1:32" s="38" customFormat="1" ht="15.75">
      <c r="A270" s="321"/>
      <c r="B270" s="318"/>
      <c r="C270" s="318"/>
      <c r="D270" s="318"/>
      <c r="E270" s="318"/>
      <c r="F270" s="318"/>
      <c r="G270" s="318"/>
      <c r="H270" s="318"/>
      <c r="I270" s="318"/>
      <c r="J270" s="318"/>
      <c r="K270" s="318"/>
      <c r="L270" s="318"/>
      <c r="M270" s="318"/>
      <c r="N270" s="318"/>
      <c r="O270" s="318"/>
      <c r="P270" s="318"/>
      <c r="Q270" s="318"/>
      <c r="R270" s="318"/>
      <c r="S270" s="318"/>
      <c r="T270" s="318"/>
      <c r="U270" s="318"/>
      <c r="V270" s="318"/>
      <c r="W270" s="253"/>
      <c r="X270" s="44"/>
      <c r="Y270" s="121"/>
      <c r="Z270" s="121"/>
      <c r="AA270" s="121"/>
      <c r="AB270" s="123"/>
      <c r="AC270" s="123"/>
      <c r="AD270" s="123"/>
      <c r="AE270" s="123"/>
      <c r="AF270" s="123"/>
    </row>
    <row r="271" spans="1:32" s="38" customFormat="1" ht="15.75">
      <c r="A271" s="321"/>
      <c r="B271" s="318"/>
      <c r="C271" s="318"/>
      <c r="D271" s="318"/>
      <c r="E271" s="318"/>
      <c r="F271" s="318"/>
      <c r="G271" s="318"/>
      <c r="H271" s="318"/>
      <c r="I271" s="318"/>
      <c r="J271" s="318"/>
      <c r="K271" s="318"/>
      <c r="L271" s="318"/>
      <c r="M271" s="318"/>
      <c r="N271" s="318"/>
      <c r="O271" s="318"/>
      <c r="P271" s="318"/>
      <c r="Q271" s="318"/>
      <c r="R271" s="318"/>
      <c r="S271" s="318"/>
      <c r="T271" s="318"/>
      <c r="U271" s="318"/>
      <c r="V271" s="318"/>
      <c r="W271" s="253"/>
      <c r="X271" s="44"/>
      <c r="Y271" s="121"/>
      <c r="Z271" s="121"/>
      <c r="AA271" s="121"/>
      <c r="AB271" s="123"/>
      <c r="AC271" s="123"/>
      <c r="AD271" s="123"/>
      <c r="AE271" s="123"/>
      <c r="AF271" s="123"/>
    </row>
    <row r="272" spans="1:32" s="38" customFormat="1" ht="15.75">
      <c r="A272" s="321"/>
      <c r="B272" s="318"/>
      <c r="C272" s="318"/>
      <c r="D272" s="318"/>
      <c r="E272" s="318"/>
      <c r="F272" s="318"/>
      <c r="G272" s="318"/>
      <c r="H272" s="318"/>
      <c r="I272" s="318"/>
      <c r="J272" s="318"/>
      <c r="K272" s="318"/>
      <c r="L272" s="318"/>
      <c r="M272" s="318"/>
      <c r="N272" s="318"/>
      <c r="O272" s="318"/>
      <c r="P272" s="318"/>
      <c r="Q272" s="318"/>
      <c r="R272" s="318"/>
      <c r="S272" s="318"/>
      <c r="T272" s="318"/>
      <c r="U272" s="318"/>
      <c r="V272" s="318"/>
      <c r="W272" s="253"/>
      <c r="X272" s="44"/>
      <c r="Y272" s="121"/>
      <c r="Z272" s="121"/>
      <c r="AA272" s="121"/>
      <c r="AB272" s="123"/>
      <c r="AC272" s="123"/>
      <c r="AD272" s="123"/>
      <c r="AE272" s="123"/>
      <c r="AF272" s="123"/>
    </row>
    <row r="273" spans="1:32" s="38" customFormat="1" ht="15.75">
      <c r="A273" s="321"/>
      <c r="B273" s="318"/>
      <c r="C273" s="318"/>
      <c r="D273" s="318"/>
      <c r="E273" s="318"/>
      <c r="F273" s="318"/>
      <c r="G273" s="318"/>
      <c r="H273" s="318"/>
      <c r="I273" s="318"/>
      <c r="J273" s="318"/>
      <c r="K273" s="318"/>
      <c r="L273" s="318"/>
      <c r="M273" s="318"/>
      <c r="N273" s="318"/>
      <c r="O273" s="318"/>
      <c r="P273" s="318"/>
      <c r="Q273" s="318"/>
      <c r="R273" s="318"/>
      <c r="S273" s="318"/>
      <c r="T273" s="318"/>
      <c r="U273" s="318"/>
      <c r="V273" s="318"/>
      <c r="W273" s="253"/>
      <c r="X273" s="44"/>
      <c r="Y273" s="121"/>
      <c r="Z273" s="121"/>
      <c r="AA273" s="121"/>
      <c r="AB273" s="123"/>
      <c r="AC273" s="123"/>
      <c r="AD273" s="123"/>
      <c r="AE273" s="123"/>
      <c r="AF273" s="123"/>
    </row>
    <row r="274" spans="1:32" s="38" customFormat="1" ht="15.75">
      <c r="A274" s="321"/>
      <c r="B274" s="318"/>
      <c r="C274" s="318"/>
      <c r="D274" s="318"/>
      <c r="E274" s="318"/>
      <c r="F274" s="318"/>
      <c r="G274" s="318"/>
      <c r="H274" s="318"/>
      <c r="I274" s="318"/>
      <c r="J274" s="318"/>
      <c r="K274" s="318"/>
      <c r="L274" s="318"/>
      <c r="M274" s="318"/>
      <c r="N274" s="318"/>
      <c r="O274" s="318"/>
      <c r="P274" s="318"/>
      <c r="Q274" s="318"/>
      <c r="R274" s="318"/>
      <c r="S274" s="318"/>
      <c r="T274" s="318"/>
      <c r="U274" s="318"/>
      <c r="V274" s="318"/>
      <c r="W274" s="253"/>
      <c r="X274" s="44"/>
      <c r="Y274" s="121"/>
      <c r="Z274" s="121"/>
      <c r="AA274" s="121"/>
      <c r="AB274" s="123"/>
      <c r="AC274" s="123"/>
      <c r="AD274" s="123"/>
      <c r="AE274" s="123"/>
      <c r="AF274" s="123"/>
    </row>
    <row r="275" spans="1:32" s="38" customFormat="1" ht="15.75">
      <c r="A275" s="321"/>
      <c r="B275" s="318"/>
      <c r="C275" s="318"/>
      <c r="D275" s="318"/>
      <c r="E275" s="318"/>
      <c r="F275" s="318"/>
      <c r="G275" s="318"/>
      <c r="H275" s="318"/>
      <c r="I275" s="318"/>
      <c r="J275" s="318"/>
      <c r="K275" s="318"/>
      <c r="L275" s="318"/>
      <c r="M275" s="318"/>
      <c r="N275" s="318"/>
      <c r="O275" s="318"/>
      <c r="P275" s="318"/>
      <c r="Q275" s="318"/>
      <c r="R275" s="318"/>
      <c r="S275" s="318"/>
      <c r="T275" s="318"/>
      <c r="U275" s="318"/>
      <c r="V275" s="318"/>
      <c r="W275" s="253"/>
      <c r="X275" s="44"/>
      <c r="Y275" s="121"/>
      <c r="Z275" s="121"/>
      <c r="AA275" s="121"/>
      <c r="AB275" s="123"/>
      <c r="AC275" s="123"/>
      <c r="AD275" s="123"/>
      <c r="AE275" s="123"/>
      <c r="AF275" s="123"/>
    </row>
    <row r="276" spans="1:32" s="38" customFormat="1" ht="15.75">
      <c r="A276" s="321"/>
      <c r="B276" s="318"/>
      <c r="C276" s="318"/>
      <c r="D276" s="318"/>
      <c r="E276" s="318"/>
      <c r="F276" s="318"/>
      <c r="G276" s="318"/>
      <c r="H276" s="318"/>
      <c r="I276" s="318"/>
      <c r="J276" s="318"/>
      <c r="K276" s="318"/>
      <c r="L276" s="318"/>
      <c r="M276" s="318"/>
      <c r="N276" s="318"/>
      <c r="O276" s="318"/>
      <c r="P276" s="318"/>
      <c r="Q276" s="318"/>
      <c r="R276" s="318"/>
      <c r="S276" s="318"/>
      <c r="T276" s="318"/>
      <c r="U276" s="318"/>
      <c r="V276" s="318"/>
      <c r="W276" s="253"/>
      <c r="X276" s="44"/>
      <c r="Y276" s="121"/>
      <c r="Z276" s="121"/>
      <c r="AA276" s="121"/>
      <c r="AB276" s="123"/>
      <c r="AC276" s="123"/>
      <c r="AD276" s="123"/>
      <c r="AE276" s="123"/>
      <c r="AF276" s="123"/>
    </row>
    <row r="277" spans="1:32" s="38" customFormat="1" ht="15.75">
      <c r="A277" s="321"/>
      <c r="B277" s="318"/>
      <c r="C277" s="318"/>
      <c r="D277" s="318"/>
      <c r="E277" s="318"/>
      <c r="F277" s="318"/>
      <c r="G277" s="318"/>
      <c r="H277" s="318"/>
      <c r="I277" s="318"/>
      <c r="J277" s="318"/>
      <c r="K277" s="318"/>
      <c r="L277" s="318"/>
      <c r="M277" s="318"/>
      <c r="N277" s="318"/>
      <c r="O277" s="318"/>
      <c r="P277" s="318"/>
      <c r="Q277" s="318"/>
      <c r="R277" s="318"/>
      <c r="S277" s="318"/>
      <c r="T277" s="318"/>
      <c r="U277" s="318"/>
      <c r="V277" s="318"/>
      <c r="W277" s="253"/>
      <c r="X277" s="44"/>
      <c r="Y277" s="121"/>
      <c r="Z277" s="121"/>
      <c r="AA277" s="121"/>
      <c r="AB277" s="123"/>
      <c r="AC277" s="123"/>
      <c r="AD277" s="123"/>
      <c r="AE277" s="123"/>
      <c r="AF277" s="123"/>
    </row>
    <row r="278" spans="1:32" s="38" customFormat="1" ht="15.75">
      <c r="A278" s="321"/>
      <c r="B278" s="318"/>
      <c r="C278" s="318"/>
      <c r="D278" s="318"/>
      <c r="E278" s="318"/>
      <c r="F278" s="318"/>
      <c r="G278" s="318"/>
      <c r="H278" s="318"/>
      <c r="I278" s="318"/>
      <c r="J278" s="318"/>
      <c r="K278" s="318"/>
      <c r="L278" s="318"/>
      <c r="M278" s="318"/>
      <c r="N278" s="318"/>
      <c r="O278" s="318"/>
      <c r="P278" s="318"/>
      <c r="Q278" s="318"/>
      <c r="R278" s="318"/>
      <c r="S278" s="318"/>
      <c r="T278" s="318"/>
      <c r="U278" s="318"/>
      <c r="V278" s="318"/>
      <c r="W278" s="253"/>
      <c r="X278" s="44"/>
      <c r="Y278" s="121"/>
      <c r="Z278" s="121"/>
      <c r="AA278" s="121"/>
      <c r="AB278" s="123"/>
      <c r="AC278" s="123"/>
      <c r="AD278" s="123"/>
      <c r="AE278" s="123"/>
      <c r="AF278" s="123"/>
    </row>
    <row r="279" spans="1:32" s="38" customFormat="1" ht="15.75">
      <c r="A279" s="321"/>
      <c r="B279" s="318"/>
      <c r="C279" s="318"/>
      <c r="D279" s="318"/>
      <c r="E279" s="318"/>
      <c r="F279" s="318"/>
      <c r="G279" s="318"/>
      <c r="H279" s="318"/>
      <c r="I279" s="318"/>
      <c r="J279" s="318"/>
      <c r="K279" s="318"/>
      <c r="L279" s="318"/>
      <c r="M279" s="318"/>
      <c r="N279" s="318"/>
      <c r="O279" s="318"/>
      <c r="P279" s="318"/>
      <c r="Q279" s="318"/>
      <c r="R279" s="318"/>
      <c r="S279" s="318"/>
      <c r="T279" s="318"/>
      <c r="U279" s="318"/>
      <c r="V279" s="318"/>
      <c r="W279" s="253"/>
      <c r="X279" s="44"/>
      <c r="Y279" s="121"/>
      <c r="Z279" s="121"/>
      <c r="AA279" s="121"/>
      <c r="AB279" s="123"/>
      <c r="AC279" s="123"/>
      <c r="AD279" s="123"/>
      <c r="AE279" s="123"/>
      <c r="AF279" s="123"/>
    </row>
    <row r="280" spans="1:32" s="38" customFormat="1" ht="15.75">
      <c r="A280" s="321"/>
      <c r="B280" s="318"/>
      <c r="C280" s="318"/>
      <c r="D280" s="318"/>
      <c r="E280" s="318"/>
      <c r="F280" s="318"/>
      <c r="G280" s="318"/>
      <c r="H280" s="318"/>
      <c r="I280" s="318"/>
      <c r="J280" s="318"/>
      <c r="K280" s="318"/>
      <c r="L280" s="318"/>
      <c r="M280" s="318"/>
      <c r="N280" s="318"/>
      <c r="O280" s="318"/>
      <c r="P280" s="318"/>
      <c r="Q280" s="318"/>
      <c r="R280" s="318"/>
      <c r="S280" s="318"/>
      <c r="T280" s="318"/>
      <c r="U280" s="318"/>
      <c r="V280" s="318"/>
      <c r="W280" s="253"/>
      <c r="X280" s="44"/>
      <c r="Y280" s="121"/>
      <c r="Z280" s="121"/>
      <c r="AA280" s="121"/>
      <c r="AB280" s="123"/>
      <c r="AC280" s="123"/>
      <c r="AD280" s="123"/>
      <c r="AE280" s="123"/>
      <c r="AF280" s="123"/>
    </row>
    <row r="281" spans="1:32" s="38" customFormat="1" ht="15.75">
      <c r="A281" s="321"/>
      <c r="B281" s="318"/>
      <c r="C281" s="318"/>
      <c r="D281" s="318"/>
      <c r="E281" s="318"/>
      <c r="F281" s="318"/>
      <c r="G281" s="318"/>
      <c r="H281" s="318"/>
      <c r="I281" s="318"/>
      <c r="J281" s="318"/>
      <c r="K281" s="318"/>
      <c r="L281" s="318"/>
      <c r="M281" s="318"/>
      <c r="N281" s="318"/>
      <c r="O281" s="318"/>
      <c r="P281" s="318"/>
      <c r="Q281" s="318"/>
      <c r="R281" s="318"/>
      <c r="S281" s="318"/>
      <c r="T281" s="318"/>
      <c r="U281" s="318"/>
      <c r="V281" s="318"/>
      <c r="W281" s="253"/>
      <c r="X281" s="44"/>
      <c r="Y281" s="121"/>
      <c r="Z281" s="121"/>
      <c r="AA281" s="121"/>
      <c r="AB281" s="123"/>
      <c r="AC281" s="123"/>
      <c r="AD281" s="123"/>
      <c r="AE281" s="123"/>
      <c r="AF281" s="123"/>
    </row>
    <row r="282" spans="1:32" s="38" customFormat="1" ht="15.75">
      <c r="A282" s="321"/>
      <c r="B282" s="318"/>
      <c r="C282" s="318"/>
      <c r="D282" s="318"/>
      <c r="E282" s="318"/>
      <c r="F282" s="318"/>
      <c r="G282" s="318"/>
      <c r="H282" s="318"/>
      <c r="I282" s="318"/>
      <c r="J282" s="318"/>
      <c r="K282" s="318"/>
      <c r="L282" s="318"/>
      <c r="M282" s="318"/>
      <c r="N282" s="318"/>
      <c r="O282" s="318"/>
      <c r="P282" s="318"/>
      <c r="Q282" s="318"/>
      <c r="R282" s="318"/>
      <c r="S282" s="318"/>
      <c r="T282" s="318"/>
      <c r="U282" s="318"/>
      <c r="V282" s="318"/>
      <c r="W282" s="253"/>
      <c r="X282" s="44"/>
      <c r="Y282" s="121"/>
      <c r="Z282" s="121"/>
      <c r="AA282" s="121"/>
      <c r="AB282" s="123"/>
      <c r="AC282" s="123"/>
      <c r="AD282" s="123"/>
      <c r="AE282" s="123"/>
      <c r="AF282" s="123"/>
    </row>
    <row r="283" spans="1:32" s="38" customFormat="1" ht="15.75">
      <c r="A283" s="321"/>
      <c r="B283" s="318"/>
      <c r="C283" s="318"/>
      <c r="D283" s="318"/>
      <c r="E283" s="318"/>
      <c r="F283" s="318"/>
      <c r="G283" s="318"/>
      <c r="H283" s="318"/>
      <c r="I283" s="318"/>
      <c r="J283" s="318"/>
      <c r="K283" s="318"/>
      <c r="L283" s="318"/>
      <c r="M283" s="318"/>
      <c r="N283" s="318"/>
      <c r="O283" s="318"/>
      <c r="P283" s="318"/>
      <c r="Q283" s="318"/>
      <c r="R283" s="318"/>
      <c r="S283" s="318"/>
      <c r="T283" s="318"/>
      <c r="U283" s="318"/>
      <c r="V283" s="318"/>
      <c r="W283" s="253"/>
      <c r="X283" s="44"/>
      <c r="Y283" s="121"/>
      <c r="Z283" s="121"/>
      <c r="AA283" s="121"/>
      <c r="AB283" s="123"/>
      <c r="AC283" s="123"/>
      <c r="AD283" s="123"/>
      <c r="AE283" s="123"/>
      <c r="AF283" s="123"/>
    </row>
    <row r="284" spans="1:32" s="38" customFormat="1" ht="15.75">
      <c r="A284" s="321"/>
      <c r="B284" s="318"/>
      <c r="C284" s="318"/>
      <c r="D284" s="318"/>
      <c r="E284" s="318"/>
      <c r="F284" s="318"/>
      <c r="G284" s="318"/>
      <c r="H284" s="318"/>
      <c r="I284" s="318"/>
      <c r="J284" s="318"/>
      <c r="K284" s="318"/>
      <c r="L284" s="318"/>
      <c r="M284" s="318"/>
      <c r="N284" s="318"/>
      <c r="O284" s="318"/>
      <c r="P284" s="318"/>
      <c r="Q284" s="318"/>
      <c r="R284" s="318"/>
      <c r="S284" s="318"/>
      <c r="T284" s="318"/>
      <c r="U284" s="318"/>
      <c r="V284" s="318"/>
      <c r="W284" s="253"/>
      <c r="X284" s="44"/>
      <c r="Y284" s="121"/>
      <c r="Z284" s="121"/>
      <c r="AA284" s="121"/>
      <c r="AB284" s="123"/>
      <c r="AC284" s="123"/>
      <c r="AD284" s="123"/>
      <c r="AE284" s="123"/>
      <c r="AF284" s="123"/>
    </row>
    <row r="285" spans="1:32" s="38" customFormat="1" ht="15.75">
      <c r="A285" s="321"/>
      <c r="B285" s="318"/>
      <c r="C285" s="318"/>
      <c r="D285" s="318"/>
      <c r="E285" s="318"/>
      <c r="F285" s="318"/>
      <c r="G285" s="318"/>
      <c r="H285" s="318"/>
      <c r="I285" s="318"/>
      <c r="J285" s="318"/>
      <c r="K285" s="318"/>
      <c r="L285" s="318"/>
      <c r="M285" s="318"/>
      <c r="N285" s="318"/>
      <c r="O285" s="318"/>
      <c r="P285" s="318"/>
      <c r="Q285" s="318"/>
      <c r="R285" s="318"/>
      <c r="S285" s="318"/>
      <c r="T285" s="318"/>
      <c r="U285" s="318"/>
      <c r="V285" s="318"/>
      <c r="W285" s="253"/>
      <c r="X285" s="44"/>
      <c r="Y285" s="121"/>
      <c r="Z285" s="121"/>
      <c r="AA285" s="121"/>
      <c r="AB285" s="123"/>
      <c r="AC285" s="123"/>
      <c r="AD285" s="123"/>
      <c r="AE285" s="123"/>
      <c r="AF285" s="123"/>
    </row>
    <row r="286" spans="1:32" s="38" customFormat="1" ht="15.75">
      <c r="A286" s="321"/>
      <c r="B286" s="318"/>
      <c r="C286" s="318"/>
      <c r="D286" s="318"/>
      <c r="E286" s="318"/>
      <c r="F286" s="318"/>
      <c r="G286" s="318"/>
      <c r="H286" s="318"/>
      <c r="I286" s="318"/>
      <c r="J286" s="318"/>
      <c r="K286" s="318"/>
      <c r="L286" s="318"/>
      <c r="M286" s="318"/>
      <c r="N286" s="318"/>
      <c r="O286" s="318"/>
      <c r="P286" s="318"/>
      <c r="Q286" s="318"/>
      <c r="R286" s="318"/>
      <c r="S286" s="318"/>
      <c r="T286" s="318"/>
      <c r="U286" s="318"/>
      <c r="V286" s="318"/>
      <c r="W286" s="253"/>
      <c r="X286" s="44"/>
      <c r="Y286" s="121"/>
      <c r="Z286" s="121"/>
      <c r="AA286" s="121"/>
      <c r="AB286" s="123"/>
      <c r="AC286" s="123"/>
      <c r="AD286" s="123"/>
      <c r="AE286" s="123"/>
      <c r="AF286" s="123"/>
    </row>
    <row r="287" spans="1:32" s="38" customFormat="1" ht="15.75">
      <c r="A287" s="321"/>
      <c r="B287" s="318"/>
      <c r="C287" s="318"/>
      <c r="D287" s="318"/>
      <c r="E287" s="318"/>
      <c r="F287" s="318"/>
      <c r="G287" s="318"/>
      <c r="H287" s="318"/>
      <c r="I287" s="318"/>
      <c r="J287" s="318"/>
      <c r="K287" s="318"/>
      <c r="L287" s="318"/>
      <c r="M287" s="318"/>
      <c r="N287" s="318"/>
      <c r="O287" s="318"/>
      <c r="P287" s="318"/>
      <c r="Q287" s="318"/>
      <c r="R287" s="318"/>
      <c r="S287" s="318"/>
      <c r="T287" s="318"/>
      <c r="U287" s="318"/>
      <c r="V287" s="318"/>
      <c r="W287" s="253"/>
      <c r="X287" s="44"/>
      <c r="Y287" s="121"/>
      <c r="Z287" s="121"/>
      <c r="AA287" s="121"/>
      <c r="AB287" s="123"/>
      <c r="AC287" s="123"/>
      <c r="AD287" s="123"/>
      <c r="AE287" s="123"/>
      <c r="AF287" s="123"/>
    </row>
    <row r="288" spans="1:32" s="38" customFormat="1" ht="15.75">
      <c r="A288" s="321"/>
      <c r="B288" s="318"/>
      <c r="C288" s="318"/>
      <c r="D288" s="318"/>
      <c r="E288" s="318"/>
      <c r="F288" s="318"/>
      <c r="G288" s="318"/>
      <c r="H288" s="318"/>
      <c r="I288" s="318"/>
      <c r="J288" s="318"/>
      <c r="K288" s="318"/>
      <c r="L288" s="318"/>
      <c r="M288" s="318"/>
      <c r="N288" s="318"/>
      <c r="O288" s="318"/>
      <c r="P288" s="318"/>
      <c r="Q288" s="318"/>
      <c r="R288" s="318"/>
      <c r="S288" s="318"/>
      <c r="T288" s="318"/>
      <c r="U288" s="318"/>
      <c r="V288" s="318"/>
      <c r="W288" s="253"/>
      <c r="X288" s="44"/>
      <c r="Y288" s="121"/>
      <c r="Z288" s="121"/>
      <c r="AA288" s="121"/>
      <c r="AB288" s="123"/>
      <c r="AC288" s="123"/>
      <c r="AD288" s="123"/>
      <c r="AE288" s="123"/>
      <c r="AF288" s="123"/>
    </row>
    <row r="289" spans="1:32" s="38" customFormat="1" ht="15.75">
      <c r="A289" s="321"/>
      <c r="B289" s="318"/>
      <c r="C289" s="318"/>
      <c r="D289" s="318"/>
      <c r="E289" s="318"/>
      <c r="F289" s="318"/>
      <c r="G289" s="318"/>
      <c r="H289" s="318"/>
      <c r="I289" s="318"/>
      <c r="J289" s="318"/>
      <c r="K289" s="318"/>
      <c r="L289" s="318"/>
      <c r="M289" s="318"/>
      <c r="N289" s="318"/>
      <c r="O289" s="318"/>
      <c r="P289" s="318"/>
      <c r="Q289" s="318"/>
      <c r="R289" s="318"/>
      <c r="S289" s="318"/>
      <c r="T289" s="318"/>
      <c r="U289" s="318"/>
      <c r="V289" s="318"/>
      <c r="W289" s="253"/>
      <c r="X289" s="44"/>
      <c r="Y289" s="121"/>
      <c r="Z289" s="121"/>
      <c r="AA289" s="121"/>
      <c r="AB289" s="123"/>
      <c r="AC289" s="123"/>
      <c r="AD289" s="123"/>
      <c r="AE289" s="123"/>
      <c r="AF289" s="123"/>
    </row>
    <row r="290" spans="1:32" s="38" customFormat="1" ht="15.75">
      <c r="A290" s="321"/>
      <c r="B290" s="318"/>
      <c r="C290" s="318"/>
      <c r="D290" s="318"/>
      <c r="E290" s="318"/>
      <c r="F290" s="318"/>
      <c r="G290" s="318"/>
      <c r="H290" s="318"/>
      <c r="I290" s="318"/>
      <c r="J290" s="318"/>
      <c r="K290" s="318"/>
      <c r="L290" s="318"/>
      <c r="M290" s="318"/>
      <c r="N290" s="318"/>
      <c r="O290" s="318"/>
      <c r="P290" s="318"/>
      <c r="Q290" s="318"/>
      <c r="R290" s="318"/>
      <c r="S290" s="318"/>
      <c r="T290" s="318"/>
      <c r="U290" s="318"/>
      <c r="V290" s="318"/>
      <c r="W290" s="253"/>
      <c r="X290" s="44"/>
      <c r="Y290" s="121"/>
      <c r="Z290" s="121"/>
      <c r="AA290" s="121"/>
      <c r="AB290" s="123"/>
      <c r="AC290" s="123"/>
      <c r="AD290" s="123"/>
      <c r="AE290" s="123"/>
      <c r="AF290" s="123"/>
    </row>
    <row r="291" spans="1:32" s="38" customFormat="1" ht="15.75">
      <c r="A291" s="321"/>
      <c r="B291" s="318"/>
      <c r="C291" s="318"/>
      <c r="D291" s="318"/>
      <c r="E291" s="318"/>
      <c r="F291" s="318"/>
      <c r="G291" s="318"/>
      <c r="H291" s="318"/>
      <c r="I291" s="318"/>
      <c r="J291" s="318"/>
      <c r="K291" s="318"/>
      <c r="L291" s="318"/>
      <c r="M291" s="318"/>
      <c r="N291" s="318"/>
      <c r="O291" s="318"/>
      <c r="P291" s="318"/>
      <c r="Q291" s="318"/>
      <c r="R291" s="318"/>
      <c r="S291" s="318"/>
      <c r="T291" s="318"/>
      <c r="U291" s="318"/>
      <c r="V291" s="318"/>
      <c r="W291" s="253"/>
      <c r="X291" s="44"/>
      <c r="Y291" s="121"/>
      <c r="Z291" s="121"/>
      <c r="AA291" s="121"/>
      <c r="AB291" s="123"/>
      <c r="AC291" s="123"/>
      <c r="AD291" s="123"/>
      <c r="AE291" s="123"/>
      <c r="AF291" s="123"/>
    </row>
    <row r="292" spans="1:32" s="38" customFormat="1" ht="15.75">
      <c r="A292" s="321"/>
      <c r="B292" s="318"/>
      <c r="C292" s="318"/>
      <c r="D292" s="318"/>
      <c r="E292" s="318"/>
      <c r="F292" s="318"/>
      <c r="G292" s="318"/>
      <c r="H292" s="318"/>
      <c r="I292" s="318"/>
      <c r="J292" s="318"/>
      <c r="K292" s="318"/>
      <c r="L292" s="318"/>
      <c r="M292" s="318"/>
      <c r="N292" s="318"/>
      <c r="O292" s="318"/>
      <c r="P292" s="318"/>
      <c r="Q292" s="318"/>
      <c r="R292" s="318"/>
      <c r="S292" s="318"/>
      <c r="T292" s="318"/>
      <c r="U292" s="318"/>
      <c r="V292" s="318"/>
      <c r="W292" s="253"/>
      <c r="X292" s="44"/>
      <c r="Y292" s="121"/>
      <c r="Z292" s="121"/>
      <c r="AA292" s="121"/>
      <c r="AB292" s="123"/>
      <c r="AC292" s="123"/>
      <c r="AD292" s="123"/>
      <c r="AE292" s="123"/>
      <c r="AF292" s="123"/>
    </row>
    <row r="293" spans="1:32" s="38" customFormat="1" ht="15.75">
      <c r="A293" s="321"/>
      <c r="B293" s="318"/>
      <c r="C293" s="318"/>
      <c r="D293" s="318"/>
      <c r="E293" s="318"/>
      <c r="F293" s="318"/>
      <c r="G293" s="318"/>
      <c r="H293" s="318"/>
      <c r="I293" s="318"/>
      <c r="J293" s="318"/>
      <c r="K293" s="318"/>
      <c r="L293" s="318"/>
      <c r="M293" s="318"/>
      <c r="N293" s="318"/>
      <c r="O293" s="318"/>
      <c r="P293" s="318"/>
      <c r="Q293" s="318"/>
      <c r="R293" s="318"/>
      <c r="S293" s="318"/>
      <c r="T293" s="318"/>
      <c r="U293" s="318"/>
      <c r="V293" s="318"/>
      <c r="W293" s="253"/>
      <c r="X293" s="44"/>
      <c r="Y293" s="121"/>
      <c r="Z293" s="121"/>
      <c r="AA293" s="121"/>
      <c r="AB293" s="123"/>
      <c r="AC293" s="123"/>
      <c r="AD293" s="123"/>
      <c r="AE293" s="123"/>
      <c r="AF293" s="123"/>
    </row>
    <row r="294" spans="1:32" s="38" customFormat="1" ht="15.75">
      <c r="A294" s="321"/>
      <c r="B294" s="318"/>
      <c r="C294" s="318"/>
      <c r="D294" s="318"/>
      <c r="E294" s="318"/>
      <c r="F294" s="318"/>
      <c r="G294" s="318"/>
      <c r="H294" s="318"/>
      <c r="I294" s="318"/>
      <c r="J294" s="318"/>
      <c r="K294" s="318"/>
      <c r="L294" s="318"/>
      <c r="M294" s="318"/>
      <c r="N294" s="318"/>
      <c r="O294" s="318"/>
      <c r="P294" s="318"/>
      <c r="Q294" s="318"/>
      <c r="R294" s="318"/>
      <c r="S294" s="318"/>
      <c r="T294" s="318"/>
      <c r="U294" s="318"/>
      <c r="V294" s="318"/>
      <c r="W294" s="253"/>
      <c r="X294" s="44"/>
      <c r="Y294" s="121"/>
      <c r="Z294" s="121"/>
      <c r="AA294" s="121"/>
      <c r="AB294" s="123"/>
      <c r="AC294" s="123"/>
      <c r="AD294" s="123"/>
      <c r="AE294" s="123"/>
      <c r="AF294" s="123"/>
    </row>
    <row r="295" spans="1:32" s="38" customFormat="1" ht="15.75">
      <c r="A295" s="321"/>
      <c r="B295" s="318"/>
      <c r="C295" s="318"/>
      <c r="D295" s="318"/>
      <c r="E295" s="318"/>
      <c r="F295" s="318"/>
      <c r="G295" s="318"/>
      <c r="H295" s="318"/>
      <c r="I295" s="318"/>
      <c r="J295" s="318"/>
      <c r="K295" s="318"/>
      <c r="L295" s="318"/>
      <c r="M295" s="318"/>
      <c r="N295" s="318"/>
      <c r="O295" s="318"/>
      <c r="P295" s="318"/>
      <c r="Q295" s="318"/>
      <c r="R295" s="318"/>
      <c r="S295" s="318"/>
      <c r="T295" s="318"/>
      <c r="U295" s="318"/>
      <c r="V295" s="318"/>
      <c r="W295" s="253"/>
      <c r="X295" s="44"/>
      <c r="Y295" s="121"/>
      <c r="Z295" s="121"/>
      <c r="AA295" s="121"/>
      <c r="AB295" s="123"/>
      <c r="AC295" s="123"/>
      <c r="AD295" s="123"/>
      <c r="AE295" s="123"/>
      <c r="AF295" s="123"/>
    </row>
    <row r="296" spans="1:32" s="38" customFormat="1" ht="15.75">
      <c r="A296" s="321"/>
      <c r="B296" s="318"/>
      <c r="C296" s="318"/>
      <c r="D296" s="318"/>
      <c r="E296" s="318"/>
      <c r="F296" s="318"/>
      <c r="G296" s="318"/>
      <c r="H296" s="318"/>
      <c r="I296" s="318"/>
      <c r="J296" s="318"/>
      <c r="K296" s="318"/>
      <c r="L296" s="318"/>
      <c r="M296" s="318"/>
      <c r="N296" s="318"/>
      <c r="O296" s="318"/>
      <c r="P296" s="318"/>
      <c r="Q296" s="318"/>
      <c r="R296" s="318"/>
      <c r="S296" s="318"/>
      <c r="T296" s="318"/>
      <c r="U296" s="318"/>
      <c r="V296" s="318"/>
      <c r="W296" s="253"/>
      <c r="X296" s="44"/>
      <c r="Y296" s="121"/>
      <c r="Z296" s="121"/>
      <c r="AA296" s="121"/>
      <c r="AB296" s="123"/>
      <c r="AC296" s="123"/>
      <c r="AD296" s="123"/>
      <c r="AE296" s="123"/>
      <c r="AF296" s="123"/>
    </row>
    <row r="297" spans="1:32" s="38" customFormat="1" ht="15.75">
      <c r="A297" s="321"/>
      <c r="B297" s="318"/>
      <c r="C297" s="318"/>
      <c r="D297" s="318"/>
      <c r="E297" s="318"/>
      <c r="F297" s="318"/>
      <c r="G297" s="318"/>
      <c r="H297" s="318"/>
      <c r="I297" s="318"/>
      <c r="J297" s="318"/>
      <c r="K297" s="318"/>
      <c r="L297" s="318"/>
      <c r="M297" s="318"/>
      <c r="N297" s="318"/>
      <c r="O297" s="318"/>
      <c r="P297" s="318"/>
      <c r="Q297" s="318"/>
      <c r="R297" s="318"/>
      <c r="S297" s="318"/>
      <c r="T297" s="318"/>
      <c r="U297" s="318"/>
      <c r="V297" s="318"/>
      <c r="W297" s="253"/>
      <c r="X297" s="44"/>
      <c r="Y297" s="121"/>
      <c r="Z297" s="121"/>
      <c r="AA297" s="121"/>
      <c r="AB297" s="123"/>
      <c r="AC297" s="123"/>
      <c r="AD297" s="123"/>
      <c r="AE297" s="123"/>
      <c r="AF297" s="123"/>
    </row>
    <row r="298" spans="1:32" s="38" customFormat="1" ht="15.75">
      <c r="A298" s="321"/>
      <c r="B298" s="318"/>
      <c r="C298" s="318"/>
      <c r="D298" s="318"/>
      <c r="E298" s="318"/>
      <c r="F298" s="318"/>
      <c r="G298" s="318"/>
      <c r="H298" s="318"/>
      <c r="I298" s="318"/>
      <c r="J298" s="318"/>
      <c r="K298" s="318"/>
      <c r="L298" s="318"/>
      <c r="M298" s="318"/>
      <c r="N298" s="318"/>
      <c r="O298" s="318"/>
      <c r="P298" s="318"/>
      <c r="Q298" s="318"/>
      <c r="R298" s="318"/>
      <c r="S298" s="318"/>
      <c r="T298" s="318"/>
      <c r="U298" s="318"/>
      <c r="V298" s="318"/>
      <c r="W298" s="253"/>
      <c r="X298" s="44"/>
      <c r="Y298" s="121"/>
      <c r="Z298" s="121"/>
      <c r="AA298" s="121"/>
      <c r="AB298" s="123"/>
      <c r="AC298" s="123"/>
      <c r="AD298" s="123"/>
      <c r="AE298" s="123"/>
      <c r="AF298" s="123"/>
    </row>
    <row r="299" spans="1:32" s="38" customFormat="1" ht="15.75">
      <c r="A299" s="321"/>
      <c r="B299" s="318"/>
      <c r="C299" s="318"/>
      <c r="D299" s="318"/>
      <c r="E299" s="318"/>
      <c r="F299" s="318"/>
      <c r="G299" s="318"/>
      <c r="H299" s="318"/>
      <c r="I299" s="318"/>
      <c r="J299" s="318"/>
      <c r="K299" s="318"/>
      <c r="L299" s="318"/>
      <c r="M299" s="318"/>
      <c r="N299" s="318"/>
      <c r="O299" s="318"/>
      <c r="P299" s="318"/>
      <c r="Q299" s="318"/>
      <c r="R299" s="318"/>
      <c r="S299" s="318"/>
      <c r="T299" s="318"/>
      <c r="U299" s="318"/>
      <c r="V299" s="318"/>
      <c r="W299" s="253"/>
      <c r="X299" s="44"/>
      <c r="Y299" s="121"/>
      <c r="Z299" s="121"/>
      <c r="AA299" s="121"/>
      <c r="AB299" s="123"/>
      <c r="AC299" s="123"/>
      <c r="AD299" s="123"/>
      <c r="AE299" s="123"/>
      <c r="AF299" s="123"/>
    </row>
    <row r="300" spans="1:32" s="38" customFormat="1" ht="15.75">
      <c r="A300" s="321"/>
      <c r="B300" s="318"/>
      <c r="C300" s="318"/>
      <c r="D300" s="318"/>
      <c r="E300" s="318"/>
      <c r="F300" s="318"/>
      <c r="G300" s="318"/>
      <c r="H300" s="318"/>
      <c r="I300" s="318"/>
      <c r="J300" s="318"/>
      <c r="K300" s="318"/>
      <c r="L300" s="318"/>
      <c r="M300" s="318"/>
      <c r="N300" s="318"/>
      <c r="O300" s="318"/>
      <c r="P300" s="318"/>
      <c r="Q300" s="318"/>
      <c r="R300" s="318"/>
      <c r="S300" s="318"/>
      <c r="T300" s="318"/>
      <c r="U300" s="318"/>
      <c r="V300" s="318"/>
      <c r="W300" s="253"/>
      <c r="X300" s="44"/>
      <c r="Y300" s="121"/>
      <c r="Z300" s="121"/>
      <c r="AA300" s="121"/>
      <c r="AB300" s="123"/>
      <c r="AC300" s="123"/>
      <c r="AD300" s="123"/>
      <c r="AE300" s="123"/>
      <c r="AF300" s="123"/>
    </row>
    <row r="301" spans="1:32" s="38" customFormat="1" ht="15.75">
      <c r="A301" s="321"/>
      <c r="B301" s="318"/>
      <c r="C301" s="318"/>
      <c r="D301" s="318"/>
      <c r="E301" s="318"/>
      <c r="F301" s="318"/>
      <c r="G301" s="318"/>
      <c r="H301" s="318"/>
      <c r="I301" s="318"/>
      <c r="J301" s="318"/>
      <c r="K301" s="318"/>
      <c r="L301" s="318"/>
      <c r="M301" s="318"/>
      <c r="N301" s="318"/>
      <c r="O301" s="318"/>
      <c r="P301" s="318"/>
      <c r="Q301" s="318"/>
      <c r="R301" s="318"/>
      <c r="S301" s="318"/>
      <c r="T301" s="318"/>
      <c r="U301" s="318"/>
      <c r="V301" s="318"/>
      <c r="W301" s="253"/>
      <c r="X301" s="44"/>
      <c r="Y301" s="121"/>
      <c r="Z301" s="121"/>
      <c r="AA301" s="121"/>
      <c r="AB301" s="123"/>
      <c r="AC301" s="123"/>
      <c r="AD301" s="123"/>
      <c r="AE301" s="123"/>
      <c r="AF301" s="123"/>
    </row>
    <row r="302" spans="1:32" s="38" customFormat="1" ht="15.75">
      <c r="A302" s="321"/>
      <c r="B302" s="318"/>
      <c r="C302" s="318"/>
      <c r="D302" s="318"/>
      <c r="E302" s="318"/>
      <c r="F302" s="318"/>
      <c r="G302" s="318"/>
      <c r="H302" s="318"/>
      <c r="I302" s="318"/>
      <c r="J302" s="318"/>
      <c r="K302" s="318"/>
      <c r="L302" s="318"/>
      <c r="M302" s="318"/>
      <c r="N302" s="318"/>
      <c r="O302" s="318"/>
      <c r="P302" s="318"/>
      <c r="Q302" s="318"/>
      <c r="R302" s="318"/>
      <c r="S302" s="318"/>
      <c r="T302" s="318"/>
      <c r="U302" s="318"/>
      <c r="V302" s="318"/>
      <c r="W302" s="253"/>
      <c r="X302" s="44"/>
      <c r="Y302" s="121"/>
      <c r="Z302" s="121"/>
      <c r="AA302" s="121"/>
      <c r="AB302" s="123"/>
      <c r="AC302" s="123"/>
      <c r="AD302" s="123"/>
      <c r="AE302" s="123"/>
      <c r="AF302" s="123"/>
    </row>
    <row r="303" spans="1:32" s="38" customFormat="1" ht="15.75">
      <c r="A303" s="321"/>
      <c r="B303" s="318"/>
      <c r="C303" s="318"/>
      <c r="D303" s="318"/>
      <c r="E303" s="318"/>
      <c r="F303" s="318"/>
      <c r="G303" s="318"/>
      <c r="H303" s="318"/>
      <c r="I303" s="318"/>
      <c r="J303" s="318"/>
      <c r="K303" s="318"/>
      <c r="L303" s="318"/>
      <c r="M303" s="318"/>
      <c r="N303" s="318"/>
      <c r="O303" s="318"/>
      <c r="P303" s="318"/>
      <c r="Q303" s="318"/>
      <c r="R303" s="318"/>
      <c r="S303" s="318"/>
      <c r="T303" s="318"/>
      <c r="U303" s="318"/>
      <c r="V303" s="318"/>
      <c r="W303" s="253"/>
      <c r="X303" s="44"/>
      <c r="Y303" s="121"/>
      <c r="Z303" s="121"/>
      <c r="AA303" s="121"/>
      <c r="AB303" s="123"/>
      <c r="AC303" s="123"/>
      <c r="AD303" s="123"/>
      <c r="AE303" s="123"/>
      <c r="AF303" s="123"/>
    </row>
    <row r="304" spans="1:32" s="38" customFormat="1" ht="15.75">
      <c r="A304" s="321"/>
      <c r="B304" s="318"/>
      <c r="C304" s="318"/>
      <c r="D304" s="318"/>
      <c r="E304" s="318"/>
      <c r="F304" s="318"/>
      <c r="G304" s="318"/>
      <c r="H304" s="318"/>
      <c r="I304" s="318"/>
      <c r="J304" s="318"/>
      <c r="K304" s="318"/>
      <c r="L304" s="318"/>
      <c r="M304" s="318"/>
      <c r="N304" s="318"/>
      <c r="O304" s="318"/>
      <c r="P304" s="318"/>
      <c r="Q304" s="318"/>
      <c r="R304" s="318"/>
      <c r="S304" s="318"/>
      <c r="T304" s="318"/>
      <c r="U304" s="318"/>
      <c r="V304" s="318"/>
      <c r="W304" s="253"/>
      <c r="X304" s="44"/>
      <c r="Y304" s="121"/>
      <c r="Z304" s="121"/>
      <c r="AA304" s="121"/>
      <c r="AB304" s="123"/>
      <c r="AC304" s="123"/>
      <c r="AD304" s="123"/>
      <c r="AE304" s="123"/>
      <c r="AF304" s="123"/>
    </row>
    <row r="305" spans="1:32" s="38" customFormat="1" ht="15.75">
      <c r="A305" s="321"/>
      <c r="B305" s="318"/>
      <c r="C305" s="318"/>
      <c r="D305" s="318"/>
      <c r="E305" s="318"/>
      <c r="F305" s="318"/>
      <c r="G305" s="318"/>
      <c r="H305" s="318"/>
      <c r="I305" s="318"/>
      <c r="J305" s="318"/>
      <c r="K305" s="318"/>
      <c r="L305" s="318"/>
      <c r="M305" s="318"/>
      <c r="N305" s="318"/>
      <c r="O305" s="318"/>
      <c r="P305" s="318"/>
      <c r="Q305" s="318"/>
      <c r="R305" s="318"/>
      <c r="S305" s="318"/>
      <c r="T305" s="318"/>
      <c r="U305" s="318"/>
      <c r="V305" s="318"/>
      <c r="W305" s="253"/>
      <c r="X305" s="44"/>
      <c r="Y305" s="121"/>
      <c r="Z305" s="121"/>
      <c r="AA305" s="121"/>
      <c r="AB305" s="123"/>
      <c r="AC305" s="123"/>
      <c r="AD305" s="123"/>
      <c r="AE305" s="123"/>
      <c r="AF305" s="123"/>
    </row>
    <row r="306" spans="1:32" s="38" customFormat="1" ht="15.75">
      <c r="A306" s="321"/>
      <c r="B306" s="318"/>
      <c r="C306" s="318"/>
      <c r="D306" s="318"/>
      <c r="E306" s="318"/>
      <c r="F306" s="318"/>
      <c r="G306" s="318"/>
      <c r="H306" s="318"/>
      <c r="I306" s="318"/>
      <c r="J306" s="318"/>
      <c r="K306" s="318"/>
      <c r="L306" s="318"/>
      <c r="M306" s="318"/>
      <c r="N306" s="318"/>
      <c r="O306" s="318"/>
      <c r="P306" s="318"/>
      <c r="Q306" s="318"/>
      <c r="R306" s="318"/>
      <c r="S306" s="318"/>
      <c r="T306" s="318"/>
      <c r="U306" s="318"/>
      <c r="V306" s="318"/>
      <c r="W306" s="253"/>
      <c r="X306" s="44"/>
      <c r="Y306" s="121"/>
      <c r="Z306" s="121"/>
      <c r="AA306" s="121"/>
      <c r="AB306" s="123"/>
      <c r="AC306" s="123"/>
      <c r="AD306" s="123"/>
      <c r="AE306" s="123"/>
      <c r="AF306" s="123"/>
    </row>
    <row r="307" spans="1:32" s="38" customFormat="1" ht="15.75">
      <c r="A307" s="321"/>
      <c r="B307" s="318"/>
      <c r="C307" s="318"/>
      <c r="D307" s="318"/>
      <c r="E307" s="318"/>
      <c r="F307" s="318"/>
      <c r="G307" s="318"/>
      <c r="H307" s="318"/>
      <c r="I307" s="318"/>
      <c r="J307" s="318"/>
      <c r="K307" s="318"/>
      <c r="L307" s="318"/>
      <c r="M307" s="318"/>
      <c r="N307" s="318"/>
      <c r="O307" s="318"/>
      <c r="P307" s="318"/>
      <c r="Q307" s="318"/>
      <c r="R307" s="318"/>
      <c r="S307" s="318"/>
      <c r="T307" s="318"/>
      <c r="U307" s="318"/>
      <c r="V307" s="318"/>
      <c r="W307" s="253"/>
      <c r="X307" s="44"/>
      <c r="Y307" s="121"/>
      <c r="Z307" s="121"/>
      <c r="AA307" s="121"/>
      <c r="AB307" s="123"/>
      <c r="AC307" s="123"/>
      <c r="AD307" s="123"/>
      <c r="AE307" s="123"/>
      <c r="AF307" s="123"/>
    </row>
    <row r="308" spans="1:32" s="38" customFormat="1" ht="15.75">
      <c r="A308" s="321"/>
      <c r="B308" s="318"/>
      <c r="C308" s="318"/>
      <c r="D308" s="318"/>
      <c r="E308" s="318"/>
      <c r="F308" s="318"/>
      <c r="G308" s="318"/>
      <c r="H308" s="318"/>
      <c r="I308" s="318"/>
      <c r="J308" s="318"/>
      <c r="K308" s="318"/>
      <c r="L308" s="318"/>
      <c r="M308" s="318"/>
      <c r="N308" s="318"/>
      <c r="O308" s="318"/>
      <c r="P308" s="318"/>
      <c r="Q308" s="318"/>
      <c r="R308" s="318"/>
      <c r="S308" s="318"/>
      <c r="T308" s="318"/>
      <c r="U308" s="318"/>
      <c r="V308" s="318"/>
      <c r="W308" s="253"/>
      <c r="X308" s="44"/>
      <c r="Y308" s="121"/>
      <c r="Z308" s="121"/>
      <c r="AA308" s="121"/>
      <c r="AB308" s="123"/>
      <c r="AC308" s="123"/>
      <c r="AD308" s="123"/>
      <c r="AE308" s="123"/>
      <c r="AF308" s="123"/>
    </row>
    <row r="309" spans="1:32" s="38" customFormat="1" ht="15.75">
      <c r="A309" s="321"/>
      <c r="B309" s="318"/>
      <c r="C309" s="318"/>
      <c r="D309" s="318"/>
      <c r="E309" s="318"/>
      <c r="F309" s="318"/>
      <c r="G309" s="318"/>
      <c r="H309" s="318"/>
      <c r="I309" s="318"/>
      <c r="J309" s="318"/>
      <c r="K309" s="318"/>
      <c r="L309" s="318"/>
      <c r="M309" s="318"/>
      <c r="N309" s="318"/>
      <c r="O309" s="318"/>
      <c r="P309" s="318"/>
      <c r="Q309" s="318"/>
      <c r="R309" s="318"/>
      <c r="S309" s="318"/>
      <c r="T309" s="318"/>
      <c r="U309" s="318"/>
      <c r="V309" s="318"/>
      <c r="W309" s="253"/>
      <c r="X309" s="44"/>
      <c r="Y309" s="121"/>
      <c r="Z309" s="121"/>
      <c r="AA309" s="121"/>
      <c r="AB309" s="123"/>
      <c r="AC309" s="123"/>
      <c r="AD309" s="123"/>
      <c r="AE309" s="123"/>
      <c r="AF309" s="123"/>
    </row>
    <row r="310" spans="1:32" s="38" customFormat="1" ht="15.75">
      <c r="A310" s="321"/>
      <c r="B310" s="318"/>
      <c r="C310" s="318"/>
      <c r="D310" s="318"/>
      <c r="E310" s="318"/>
      <c r="F310" s="318"/>
      <c r="G310" s="318"/>
      <c r="H310" s="318"/>
      <c r="I310" s="318"/>
      <c r="J310" s="318"/>
      <c r="K310" s="318"/>
      <c r="L310" s="318"/>
      <c r="M310" s="318"/>
      <c r="N310" s="318"/>
      <c r="O310" s="318"/>
      <c r="P310" s="318"/>
      <c r="Q310" s="318"/>
      <c r="R310" s="318"/>
      <c r="S310" s="318"/>
      <c r="T310" s="318"/>
      <c r="U310" s="318"/>
      <c r="V310" s="318"/>
      <c r="W310" s="253"/>
      <c r="X310" s="44"/>
      <c r="Y310" s="121"/>
      <c r="Z310" s="121"/>
      <c r="AA310" s="121"/>
      <c r="AB310" s="123"/>
      <c r="AC310" s="123"/>
      <c r="AD310" s="123"/>
      <c r="AE310" s="123"/>
      <c r="AF310" s="123"/>
    </row>
    <row r="311" spans="1:32" s="38" customFormat="1" ht="15.75">
      <c r="A311" s="321"/>
      <c r="B311" s="318"/>
      <c r="C311" s="318"/>
      <c r="D311" s="318"/>
      <c r="E311" s="318"/>
      <c r="F311" s="318"/>
      <c r="G311" s="318"/>
      <c r="H311" s="318"/>
      <c r="I311" s="318"/>
      <c r="J311" s="318"/>
      <c r="K311" s="318"/>
      <c r="L311" s="318"/>
      <c r="M311" s="318"/>
      <c r="N311" s="318"/>
      <c r="O311" s="318"/>
      <c r="P311" s="318"/>
      <c r="Q311" s="318"/>
      <c r="R311" s="318"/>
      <c r="S311" s="318"/>
      <c r="T311" s="318"/>
      <c r="U311" s="318"/>
      <c r="V311" s="318"/>
      <c r="W311" s="253"/>
      <c r="X311" s="44"/>
      <c r="Y311" s="121"/>
      <c r="Z311" s="121"/>
      <c r="AA311" s="121"/>
      <c r="AB311" s="123"/>
      <c r="AC311" s="123"/>
      <c r="AD311" s="123"/>
      <c r="AE311" s="123"/>
      <c r="AF311" s="123"/>
    </row>
    <row r="312" spans="1:32" s="2" customFormat="1" ht="15.75">
      <c r="A312" s="259"/>
      <c r="B312" s="258"/>
      <c r="C312" s="258"/>
      <c r="D312" s="258"/>
      <c r="E312" s="258"/>
      <c r="F312" s="258"/>
      <c r="G312" s="258"/>
      <c r="H312" s="258"/>
      <c r="I312" s="258"/>
      <c r="J312" s="258"/>
      <c r="K312" s="258"/>
      <c r="L312" s="258"/>
      <c r="M312" s="258"/>
      <c r="N312" s="258"/>
      <c r="O312" s="258"/>
      <c r="P312" s="258"/>
      <c r="Q312" s="258"/>
      <c r="R312" s="258"/>
      <c r="S312" s="258"/>
      <c r="T312" s="258"/>
      <c r="U312" s="258"/>
      <c r="V312" s="258"/>
      <c r="W312" s="248"/>
      <c r="X312" s="42"/>
      <c r="Y312" s="57"/>
      <c r="Z312" s="57"/>
      <c r="AA312" s="57"/>
      <c r="AB312" s="70"/>
      <c r="AC312" s="70"/>
      <c r="AD312" s="70"/>
      <c r="AE312" s="70"/>
      <c r="AF312" s="70"/>
    </row>
    <row r="313" spans="1:32" s="2" customFormat="1" ht="15.75">
      <c r="A313" s="259"/>
      <c r="B313" s="258"/>
      <c r="C313" s="258"/>
      <c r="D313" s="258"/>
      <c r="E313" s="258"/>
      <c r="F313" s="258"/>
      <c r="G313" s="258"/>
      <c r="H313" s="258"/>
      <c r="I313" s="258"/>
      <c r="J313" s="258"/>
      <c r="K313" s="258"/>
      <c r="L313" s="258"/>
      <c r="M313" s="258"/>
      <c r="N313" s="258"/>
      <c r="O313" s="258"/>
      <c r="P313" s="258"/>
      <c r="Q313" s="258"/>
      <c r="R313" s="258"/>
      <c r="S313" s="258"/>
      <c r="T313" s="258"/>
      <c r="U313" s="258"/>
      <c r="V313" s="258"/>
      <c r="W313" s="248"/>
      <c r="X313" s="42"/>
      <c r="Y313" s="57"/>
      <c r="Z313" s="57"/>
      <c r="AA313" s="57"/>
      <c r="AB313" s="70"/>
      <c r="AC313" s="70"/>
      <c r="AD313" s="70"/>
      <c r="AE313" s="70"/>
      <c r="AF313" s="70"/>
    </row>
    <row r="314" spans="1:32" ht="15.75">
      <c r="A314" s="322"/>
      <c r="B314" s="323"/>
      <c r="C314" s="323"/>
      <c r="D314" s="323"/>
      <c r="E314" s="323"/>
      <c r="F314" s="323"/>
      <c r="G314" s="323"/>
      <c r="H314" s="323"/>
      <c r="I314" s="323"/>
      <c r="J314" s="323"/>
      <c r="K314" s="323"/>
      <c r="L314" s="323"/>
      <c r="M314" s="323"/>
      <c r="N314" s="323"/>
      <c r="O314" s="323"/>
      <c r="P314" s="323"/>
      <c r="Q314" s="323"/>
      <c r="R314" s="323"/>
      <c r="S314" s="323"/>
      <c r="T314" s="323"/>
      <c r="U314" s="323"/>
      <c r="V314" s="323"/>
      <c r="W314" s="255"/>
      <c r="X314" s="247"/>
      <c r="Y314" s="125"/>
      <c r="Z314" s="125"/>
      <c r="AA314" s="125"/>
      <c r="AB314" s="126"/>
      <c r="AC314" s="126"/>
      <c r="AD314" s="126"/>
      <c r="AE314" s="126"/>
      <c r="AF314" s="126"/>
    </row>
    <row r="315" spans="1:32" ht="15.75">
      <c r="A315" s="322"/>
      <c r="B315" s="323"/>
      <c r="C315" s="323"/>
      <c r="D315" s="323"/>
      <c r="E315" s="323"/>
      <c r="F315" s="323"/>
      <c r="G315" s="323"/>
      <c r="H315" s="323"/>
      <c r="I315" s="323"/>
      <c r="J315" s="323"/>
      <c r="K315" s="323"/>
      <c r="L315" s="323"/>
      <c r="M315" s="323"/>
      <c r="N315" s="323"/>
      <c r="O315" s="323"/>
      <c r="P315" s="323"/>
      <c r="Q315" s="323"/>
      <c r="R315" s="323"/>
      <c r="S315" s="323"/>
      <c r="T315" s="323"/>
      <c r="U315" s="323"/>
      <c r="V315" s="323"/>
      <c r="W315" s="255"/>
      <c r="X315" s="247"/>
      <c r="Y315" s="125"/>
      <c r="Z315" s="125"/>
      <c r="AA315" s="125"/>
      <c r="AB315" s="126"/>
      <c r="AC315" s="126"/>
      <c r="AD315" s="126"/>
      <c r="AE315" s="126"/>
      <c r="AF315" s="126"/>
    </row>
    <row r="316" spans="1:32" ht="14.25">
      <c r="A316" s="27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spans="1:32" ht="14.25">
      <c r="A317" s="27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spans="1:32" ht="14.25">
      <c r="A318" s="27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1:32" ht="14.25">
      <c r="A319" s="27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</sheetData>
  <mergeCells count="182">
    <mergeCell ref="E4:L4"/>
    <mergeCell ref="E5:M5"/>
    <mergeCell ref="E6:M6"/>
    <mergeCell ref="E7:M7"/>
    <mergeCell ref="A17:A19"/>
    <mergeCell ref="B17:B19"/>
    <mergeCell ref="C17:C19"/>
    <mergeCell ref="D17:D19"/>
    <mergeCell ref="E17:E19"/>
    <mergeCell ref="F17:F19"/>
    <mergeCell ref="B38:Q38"/>
    <mergeCell ref="B39:Q39"/>
    <mergeCell ref="B40:Q40"/>
    <mergeCell ref="B41:Q41"/>
    <mergeCell ref="B42:D42"/>
    <mergeCell ref="B43:D43"/>
    <mergeCell ref="M17:T17"/>
    <mergeCell ref="U17:U19"/>
    <mergeCell ref="V17:V19"/>
    <mergeCell ref="M18:M19"/>
    <mergeCell ref="N18:N19"/>
    <mergeCell ref="O18:Q18"/>
    <mergeCell ref="R18:R19"/>
    <mergeCell ref="S18:S19"/>
    <mergeCell ref="T18:T19"/>
    <mergeCell ref="G17:G19"/>
    <mergeCell ref="H17:H19"/>
    <mergeCell ref="J17:J19"/>
    <mergeCell ref="K17:K19"/>
    <mergeCell ref="L17:L19"/>
    <mergeCell ref="I17:I19"/>
    <mergeCell ref="B44:D44"/>
    <mergeCell ref="E49:M49"/>
    <mergeCell ref="E50:M50"/>
    <mergeCell ref="E51:M51"/>
    <mergeCell ref="A61:A63"/>
    <mergeCell ref="B61:B63"/>
    <mergeCell ref="C61:C63"/>
    <mergeCell ref="D61:D63"/>
    <mergeCell ref="E61:E63"/>
    <mergeCell ref="E48:L48"/>
    <mergeCell ref="U61:U63"/>
    <mergeCell ref="V61:V63"/>
    <mergeCell ref="M62:M63"/>
    <mergeCell ref="N62:N63"/>
    <mergeCell ref="O62:Q62"/>
    <mergeCell ref="R62:R63"/>
    <mergeCell ref="S62:S63"/>
    <mergeCell ref="T62:T63"/>
    <mergeCell ref="F61:F63"/>
    <mergeCell ref="G61:G63"/>
    <mergeCell ref="H61:H63"/>
    <mergeCell ref="J61:J63"/>
    <mergeCell ref="K61:K63"/>
    <mergeCell ref="I61:I63"/>
    <mergeCell ref="L61:L63"/>
    <mergeCell ref="M61:T61"/>
    <mergeCell ref="E88:L88"/>
    <mergeCell ref="E89:M89"/>
    <mergeCell ref="A101:A103"/>
    <mergeCell ref="B101:B103"/>
    <mergeCell ref="C101:C103"/>
    <mergeCell ref="D101:D103"/>
    <mergeCell ref="E101:E103"/>
    <mergeCell ref="F101:F103"/>
    <mergeCell ref="G101:G103"/>
    <mergeCell ref="H101:H103"/>
    <mergeCell ref="I101:I103"/>
    <mergeCell ref="J101:J103"/>
    <mergeCell ref="K101:K103"/>
    <mergeCell ref="E90:M90"/>
    <mergeCell ref="E91:M91"/>
    <mergeCell ref="L101:L103"/>
    <mergeCell ref="M101:T101"/>
    <mergeCell ref="U101:U103"/>
    <mergeCell ref="V101:V103"/>
    <mergeCell ref="M102:M103"/>
    <mergeCell ref="N102:N103"/>
    <mergeCell ref="O102:Q102"/>
    <mergeCell ref="R102:R103"/>
    <mergeCell ref="S102:S103"/>
    <mergeCell ref="T102:T103"/>
    <mergeCell ref="E130:L130"/>
    <mergeCell ref="A143:A145"/>
    <mergeCell ref="B143:B145"/>
    <mergeCell ref="C143:C145"/>
    <mergeCell ref="D143:D145"/>
    <mergeCell ref="E143:E145"/>
    <mergeCell ref="F143:F145"/>
    <mergeCell ref="G143:G145"/>
    <mergeCell ref="H143:H145"/>
    <mergeCell ref="I143:I145"/>
    <mergeCell ref="E166:L166"/>
    <mergeCell ref="E167:M167"/>
    <mergeCell ref="E168:M168"/>
    <mergeCell ref="E169:M169"/>
    <mergeCell ref="M179:T179"/>
    <mergeCell ref="U179:U181"/>
    <mergeCell ref="E131:M131"/>
    <mergeCell ref="E132:M132"/>
    <mergeCell ref="E133:M133"/>
    <mergeCell ref="J143:J145"/>
    <mergeCell ref="K143:K145"/>
    <mergeCell ref="L143:L145"/>
    <mergeCell ref="M143:T143"/>
    <mergeCell ref="U143:U145"/>
    <mergeCell ref="G179:G181"/>
    <mergeCell ref="H179:H181"/>
    <mergeCell ref="I179:I181"/>
    <mergeCell ref="V143:V145"/>
    <mergeCell ref="M144:M145"/>
    <mergeCell ref="N144:N145"/>
    <mergeCell ref="O144:Q144"/>
    <mergeCell ref="R144:R145"/>
    <mergeCell ref="S144:S145"/>
    <mergeCell ref="T144:T145"/>
    <mergeCell ref="V179:V181"/>
    <mergeCell ref="M180:M181"/>
    <mergeCell ref="N180:N181"/>
    <mergeCell ref="O180:Q180"/>
    <mergeCell ref="R180:R181"/>
    <mergeCell ref="S180:S181"/>
    <mergeCell ref="T180:T181"/>
    <mergeCell ref="E201:L201"/>
    <mergeCell ref="E202:M202"/>
    <mergeCell ref="J179:J181"/>
    <mergeCell ref="K179:K181"/>
    <mergeCell ref="L179:L181"/>
    <mergeCell ref="E203:M203"/>
    <mergeCell ref="E204:M204"/>
    <mergeCell ref="A214:A216"/>
    <mergeCell ref="B214:B216"/>
    <mergeCell ref="C214:C216"/>
    <mergeCell ref="D214:D216"/>
    <mergeCell ref="E214:E216"/>
    <mergeCell ref="F214:F216"/>
    <mergeCell ref="A179:A181"/>
    <mergeCell ref="B179:B181"/>
    <mergeCell ref="C179:C181"/>
    <mergeCell ref="D179:D181"/>
    <mergeCell ref="E179:E181"/>
    <mergeCell ref="F179:F181"/>
    <mergeCell ref="G214:G216"/>
    <mergeCell ref="H214:H216"/>
    <mergeCell ref="I214:I216"/>
    <mergeCell ref="J214:J216"/>
    <mergeCell ref="K214:K216"/>
    <mergeCell ref="L214:L216"/>
    <mergeCell ref="A243:A245"/>
    <mergeCell ref="B243:B245"/>
    <mergeCell ref="C243:C245"/>
    <mergeCell ref="D243:D245"/>
    <mergeCell ref="E243:E245"/>
    <mergeCell ref="F243:F245"/>
    <mergeCell ref="G243:G245"/>
    <mergeCell ref="H243:H245"/>
    <mergeCell ref="I243:I245"/>
    <mergeCell ref="J243:J245"/>
    <mergeCell ref="K243:K245"/>
    <mergeCell ref="L243:L245"/>
    <mergeCell ref="E230:L230"/>
    <mergeCell ref="E231:M231"/>
    <mergeCell ref="E232:M232"/>
    <mergeCell ref="E233:M233"/>
    <mergeCell ref="M243:T243"/>
    <mergeCell ref="U243:U245"/>
    <mergeCell ref="V243:V245"/>
    <mergeCell ref="M244:M245"/>
    <mergeCell ref="N244:N245"/>
    <mergeCell ref="O244:Q244"/>
    <mergeCell ref="R244:R245"/>
    <mergeCell ref="S244:S245"/>
    <mergeCell ref="T244:T245"/>
    <mergeCell ref="U214:U216"/>
    <mergeCell ref="V214:V216"/>
    <mergeCell ref="M215:M216"/>
    <mergeCell ref="N215:N216"/>
    <mergeCell ref="O215:Q215"/>
    <mergeCell ref="R215:R216"/>
    <mergeCell ref="S215:S216"/>
    <mergeCell ref="T215:T216"/>
    <mergeCell ref="M214:T214"/>
  </mergeCells>
  <printOptions horizontalCentered="1" verticalCentered="1"/>
  <pageMargins left="0" right="0" top="0" bottom="0" header="0" footer="0"/>
  <pageSetup paperSize="9" scale="36" orientation="landscape" r:id="rId1"/>
  <headerFooter alignWithMargins="0"/>
  <rowBreaks count="6" manualBreakCount="6">
    <brk id="43" max="16383" man="1"/>
    <brk id="84" max="16383" man="1"/>
    <brk id="126" max="16383" man="1"/>
    <brk id="162" max="16383" man="1"/>
    <brk id="197" max="16383" man="1"/>
    <brk id="226" max="154" man="1"/>
  </rowBreaks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EY423"/>
  <sheetViews>
    <sheetView view="pageBreakPreview" zoomScale="85" zoomScaleNormal="100" zoomScaleSheetLayoutView="85" workbookViewId="0">
      <selection activeCell="B38" sqref="B38:B40"/>
    </sheetView>
  </sheetViews>
  <sheetFormatPr defaultRowHeight="12.75"/>
  <cols>
    <col min="1" max="1" width="3.140625" style="3" customWidth="1"/>
    <col min="2" max="2" width="22.140625" style="3" customWidth="1"/>
    <col min="3" max="3" width="29.85546875" style="3" customWidth="1"/>
    <col min="4" max="4" width="9.42578125" style="3" customWidth="1"/>
    <col min="5" max="5" width="42.28515625" style="3" customWidth="1"/>
    <col min="6" max="6" width="15.85546875" style="3" customWidth="1"/>
    <col min="7" max="7" width="9" style="3" customWidth="1"/>
    <col min="8" max="8" width="6.7109375" style="3" customWidth="1"/>
    <col min="9" max="9" width="8.7109375" style="3" customWidth="1"/>
    <col min="10" max="10" width="7.7109375" style="3" customWidth="1"/>
    <col min="11" max="11" width="7.85546875" style="3" customWidth="1"/>
    <col min="12" max="12" width="9.85546875" style="3" customWidth="1"/>
    <col min="13" max="14" width="9.140625" style="3"/>
    <col min="15" max="16" width="8.5703125" style="3" customWidth="1"/>
    <col min="17" max="17" width="7.85546875" style="3" customWidth="1"/>
    <col min="18" max="18" width="10.85546875" style="3" customWidth="1"/>
    <col min="19" max="19" width="4.140625" style="3" hidden="1" customWidth="1"/>
    <col min="20" max="20" width="7.5703125" style="3" customWidth="1"/>
    <col min="21" max="21" width="10" style="3" bestFit="1" customWidth="1"/>
    <col min="22" max="22" width="10.7109375" style="3" customWidth="1"/>
    <col min="23" max="16384" width="9.140625" style="3"/>
  </cols>
  <sheetData>
    <row r="1" spans="1:22" s="39" customFormat="1" ht="15">
      <c r="A1" s="99" t="s">
        <v>0</v>
      </c>
      <c r="B1" s="99"/>
      <c r="C1" s="99"/>
      <c r="D1" s="99"/>
      <c r="E1" s="100"/>
      <c r="F1" s="100"/>
      <c r="G1" s="100"/>
      <c r="H1" s="100"/>
      <c r="I1" s="100"/>
      <c r="J1" s="100"/>
      <c r="K1" s="100"/>
      <c r="L1" s="100"/>
      <c r="M1" s="100"/>
      <c r="N1" s="69" t="s">
        <v>1</v>
      </c>
      <c r="O1" s="69"/>
      <c r="P1" s="69"/>
      <c r="Q1" s="69"/>
      <c r="R1" s="69"/>
      <c r="S1" s="69"/>
      <c r="T1" s="69"/>
      <c r="U1" s="70"/>
      <c r="V1" s="70"/>
    </row>
    <row r="2" spans="1:22" s="39" customFormat="1" ht="15">
      <c r="A2" s="99" t="s">
        <v>2</v>
      </c>
      <c r="B2" s="99"/>
      <c r="C2" s="99"/>
      <c r="D2" s="99"/>
      <c r="E2" s="100"/>
      <c r="F2" s="100"/>
      <c r="G2" s="100"/>
      <c r="H2" s="100"/>
      <c r="I2" s="100"/>
      <c r="J2" s="100"/>
      <c r="K2" s="100"/>
      <c r="L2" s="100"/>
      <c r="M2" s="100"/>
      <c r="N2" s="69" t="s">
        <v>3</v>
      </c>
      <c r="O2" s="69"/>
      <c r="P2" s="69"/>
      <c r="Q2" s="69"/>
      <c r="R2" s="69"/>
      <c r="S2" s="69"/>
      <c r="T2" s="69"/>
      <c r="U2" s="70"/>
      <c r="V2" s="70"/>
    </row>
    <row r="3" spans="1:22" s="39" customFormat="1" ht="15">
      <c r="A3" s="99"/>
      <c r="B3" s="99"/>
      <c r="C3" s="99"/>
      <c r="D3" s="99"/>
      <c r="E3" s="100"/>
      <c r="F3" s="100"/>
      <c r="G3" s="100"/>
      <c r="H3" s="100"/>
      <c r="I3" s="100"/>
      <c r="J3" s="100"/>
      <c r="K3" s="100"/>
      <c r="L3" s="100"/>
      <c r="M3" s="100"/>
      <c r="N3" s="68" t="s">
        <v>4</v>
      </c>
      <c r="O3" s="68"/>
      <c r="P3" s="68"/>
      <c r="Q3" s="68"/>
      <c r="R3" s="68"/>
      <c r="S3" s="68"/>
      <c r="T3" s="68"/>
      <c r="U3" s="70"/>
      <c r="V3" s="70"/>
    </row>
    <row r="4" spans="1:22" s="39" customFormat="1" ht="15">
      <c r="A4" s="99" t="s">
        <v>5</v>
      </c>
      <c r="B4" s="99"/>
      <c r="C4" s="99" t="s">
        <v>6</v>
      </c>
      <c r="D4" s="99"/>
      <c r="E4" s="462" t="s">
        <v>183</v>
      </c>
      <c r="F4" s="462"/>
      <c r="G4" s="462"/>
      <c r="H4" s="462"/>
      <c r="I4" s="462"/>
      <c r="J4" s="462"/>
      <c r="K4" s="462"/>
      <c r="L4" s="462"/>
      <c r="M4" s="70"/>
      <c r="N4" s="69" t="s">
        <v>139</v>
      </c>
      <c r="O4" s="69"/>
      <c r="P4" s="69"/>
      <c r="Q4" s="69"/>
      <c r="R4" s="69"/>
      <c r="S4" s="69"/>
      <c r="T4" s="69"/>
      <c r="U4" s="70"/>
      <c r="V4" s="70"/>
    </row>
    <row r="5" spans="1:22" s="39" customFormat="1" ht="15">
      <c r="A5" s="99"/>
      <c r="B5" s="99"/>
      <c r="C5" s="99"/>
      <c r="D5" s="99"/>
      <c r="E5" s="463" t="s">
        <v>184</v>
      </c>
      <c r="F5" s="463"/>
      <c r="G5" s="463"/>
      <c r="H5" s="463"/>
      <c r="I5" s="463"/>
      <c r="J5" s="463"/>
      <c r="K5" s="463"/>
      <c r="L5" s="463"/>
      <c r="M5" s="463"/>
      <c r="N5" s="100"/>
      <c r="O5" s="100"/>
      <c r="P5" s="100"/>
      <c r="Q5" s="100"/>
      <c r="R5" s="100"/>
      <c r="S5" s="100"/>
      <c r="T5" s="100"/>
      <c r="U5" s="100"/>
      <c r="V5" s="70"/>
    </row>
    <row r="6" spans="1:22" s="39" customFormat="1" ht="15">
      <c r="A6" s="100"/>
      <c r="B6" s="100"/>
      <c r="C6" s="100"/>
      <c r="D6" s="100"/>
      <c r="E6" s="464" t="s">
        <v>219</v>
      </c>
      <c r="F6" s="464"/>
      <c r="G6" s="464"/>
      <c r="H6" s="464"/>
      <c r="I6" s="464"/>
      <c r="J6" s="464"/>
      <c r="K6" s="464"/>
      <c r="L6" s="464"/>
      <c r="M6" s="464"/>
      <c r="N6" s="100"/>
      <c r="O6" s="100"/>
      <c r="P6" s="100"/>
      <c r="Q6" s="100"/>
      <c r="R6" s="100"/>
      <c r="S6" s="100"/>
      <c r="T6" s="100"/>
      <c r="U6" s="100"/>
      <c r="V6" s="70"/>
    </row>
    <row r="7" spans="1:22" s="39" customFormat="1" ht="15">
      <c r="A7" s="100"/>
      <c r="B7" s="100"/>
      <c r="C7" s="100"/>
      <c r="D7" s="100"/>
      <c r="E7" s="464" t="s">
        <v>7</v>
      </c>
      <c r="F7" s="464"/>
      <c r="G7" s="464"/>
      <c r="H7" s="464"/>
      <c r="I7" s="464"/>
      <c r="J7" s="464"/>
      <c r="K7" s="464"/>
      <c r="L7" s="464"/>
      <c r="M7" s="464"/>
      <c r="N7" s="100"/>
      <c r="O7" s="100"/>
      <c r="P7" s="100"/>
      <c r="Q7" s="100"/>
      <c r="R7" s="100"/>
      <c r="S7" s="100"/>
      <c r="T7" s="100"/>
      <c r="U7" s="100"/>
      <c r="V7" s="70"/>
    </row>
    <row r="8" spans="1:22" s="39" customFormat="1" ht="1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 t="s">
        <v>185</v>
      </c>
      <c r="R8" s="100"/>
      <c r="S8" s="100"/>
      <c r="T8" s="100"/>
      <c r="U8" s="100"/>
      <c r="V8" s="70"/>
    </row>
    <row r="9" spans="1:22" s="39" customFormat="1" ht="1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 t="s">
        <v>265</v>
      </c>
      <c r="R9" s="100"/>
      <c r="S9" s="100"/>
      <c r="T9" s="100"/>
      <c r="U9" s="100"/>
      <c r="V9" s="70"/>
    </row>
    <row r="10" spans="1:22" s="39" customFormat="1" ht="1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 t="s">
        <v>186</v>
      </c>
      <c r="R10" s="70"/>
      <c r="S10" s="70"/>
      <c r="T10" s="70" t="s">
        <v>317</v>
      </c>
      <c r="U10" s="70"/>
      <c r="V10" s="70"/>
    </row>
    <row r="11" spans="1:22" s="39" customFormat="1" ht="1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 t="s">
        <v>188</v>
      </c>
      <c r="R11" s="70"/>
      <c r="S11" s="70"/>
      <c r="T11" s="70">
        <v>1</v>
      </c>
      <c r="U11" s="70"/>
      <c r="V11" s="70"/>
    </row>
    <row r="12" spans="1:22" s="39" customFormat="1" ht="1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 t="s">
        <v>189</v>
      </c>
      <c r="R12" s="70"/>
      <c r="S12" s="70"/>
      <c r="T12" s="70">
        <v>29</v>
      </c>
      <c r="U12" s="70" t="s">
        <v>190</v>
      </c>
      <c r="V12" s="70"/>
    </row>
    <row r="13" spans="1:22" s="39" customFormat="1" ht="1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 t="s">
        <v>191</v>
      </c>
      <c r="R13" s="70"/>
      <c r="S13" s="70"/>
      <c r="T13" s="70">
        <v>0</v>
      </c>
      <c r="U13" s="70">
        <f>T13*100/T12</f>
        <v>0</v>
      </c>
      <c r="V13" s="70" t="s">
        <v>17</v>
      </c>
    </row>
    <row r="14" spans="1:22" s="39" customFormat="1" ht="1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 t="s">
        <v>192</v>
      </c>
      <c r="R14" s="70"/>
      <c r="S14" s="70"/>
      <c r="T14" s="70">
        <v>29</v>
      </c>
      <c r="U14" s="70">
        <f>T14*100/T12</f>
        <v>100</v>
      </c>
      <c r="V14" s="70" t="s">
        <v>17</v>
      </c>
    </row>
    <row r="15" spans="1:22" s="39" customFormat="1" ht="1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 t="s">
        <v>193</v>
      </c>
      <c r="R15" s="70"/>
      <c r="S15" s="70"/>
      <c r="T15" s="324">
        <f>K41</f>
        <v>199.6</v>
      </c>
      <c r="U15" s="70"/>
      <c r="V15" s="70"/>
    </row>
    <row r="16" spans="1:22" s="39" customFormat="1" ht="15">
      <c r="A16" s="70"/>
      <c r="B16" s="70" t="s">
        <v>322</v>
      </c>
      <c r="C16" s="70" t="s">
        <v>319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</row>
    <row r="17" spans="1:22" s="39" customFormat="1" ht="15">
      <c r="A17" s="459" t="s">
        <v>195</v>
      </c>
      <c r="B17" s="459" t="s">
        <v>196</v>
      </c>
      <c r="C17" s="459" t="s">
        <v>197</v>
      </c>
      <c r="D17" s="459" t="s">
        <v>198</v>
      </c>
      <c r="E17" s="459" t="s">
        <v>10</v>
      </c>
      <c r="F17" s="459" t="s">
        <v>199</v>
      </c>
      <c r="G17" s="459" t="s">
        <v>200</v>
      </c>
      <c r="H17" s="459" t="s">
        <v>201</v>
      </c>
      <c r="I17" s="459" t="s">
        <v>202</v>
      </c>
      <c r="J17" s="459" t="s">
        <v>11</v>
      </c>
      <c r="K17" s="459" t="s">
        <v>203</v>
      </c>
      <c r="L17" s="459" t="s">
        <v>12</v>
      </c>
      <c r="M17" s="458" t="s">
        <v>204</v>
      </c>
      <c r="N17" s="458"/>
      <c r="O17" s="458"/>
      <c r="P17" s="458"/>
      <c r="Q17" s="458"/>
      <c r="R17" s="458"/>
      <c r="S17" s="458"/>
      <c r="T17" s="458"/>
      <c r="U17" s="459" t="s">
        <v>205</v>
      </c>
      <c r="V17" s="459" t="s">
        <v>206</v>
      </c>
    </row>
    <row r="18" spans="1:22" s="39" customFormat="1" ht="15">
      <c r="A18" s="460"/>
      <c r="B18" s="460"/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459" t="s">
        <v>207</v>
      </c>
      <c r="N18" s="459" t="s">
        <v>15</v>
      </c>
      <c r="O18" s="458" t="s">
        <v>16</v>
      </c>
      <c r="P18" s="458"/>
      <c r="Q18" s="458"/>
      <c r="R18" s="459"/>
      <c r="S18" s="459"/>
      <c r="T18" s="459"/>
      <c r="U18" s="460"/>
      <c r="V18" s="460"/>
    </row>
    <row r="19" spans="1:22" s="39" customFormat="1" ht="43.5" customHeight="1">
      <c r="A19" s="461"/>
      <c r="B19" s="461"/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71" t="s">
        <v>17</v>
      </c>
      <c r="P19" s="71" t="s">
        <v>18</v>
      </c>
      <c r="Q19" s="71" t="s">
        <v>19</v>
      </c>
      <c r="R19" s="461"/>
      <c r="S19" s="461"/>
      <c r="T19" s="461"/>
      <c r="U19" s="461"/>
      <c r="V19" s="461"/>
    </row>
    <row r="20" spans="1:22" s="42" customFormat="1" ht="33.75" customHeight="1">
      <c r="A20" s="102">
        <v>1</v>
      </c>
      <c r="B20" s="73"/>
      <c r="C20" s="80" t="s">
        <v>208</v>
      </c>
      <c r="D20" s="102" t="s">
        <v>51</v>
      </c>
      <c r="E20" s="73" t="s">
        <v>52</v>
      </c>
      <c r="F20" s="73" t="s">
        <v>53</v>
      </c>
      <c r="G20" s="73" t="s">
        <v>148</v>
      </c>
      <c r="H20" s="82" t="s">
        <v>25</v>
      </c>
      <c r="I20" s="74">
        <v>92201</v>
      </c>
      <c r="J20" s="75">
        <f>I20/72</f>
        <v>1280.57</v>
      </c>
      <c r="K20" s="76">
        <v>17</v>
      </c>
      <c r="L20" s="77">
        <f>J20*K20</f>
        <v>21770</v>
      </c>
      <c r="M20" s="102"/>
      <c r="N20" s="102"/>
      <c r="O20" s="102">
        <v>25</v>
      </c>
      <c r="P20" s="102">
        <v>10.199999999999999</v>
      </c>
      <c r="Q20" s="77">
        <f>17697*25%/72*P20</f>
        <v>627</v>
      </c>
      <c r="R20" s="77"/>
      <c r="S20" s="77"/>
      <c r="T20" s="77"/>
      <c r="U20" s="77">
        <f>L20*10%</f>
        <v>2177</v>
      </c>
      <c r="V20" s="77">
        <f>M20+N20+Q20+R20+T20+U20+S20+L20</f>
        <v>24574</v>
      </c>
    </row>
    <row r="21" spans="1:22" s="45" customFormat="1" ht="29.25" customHeight="1">
      <c r="A21" s="73">
        <v>2</v>
      </c>
      <c r="B21" s="37"/>
      <c r="C21" s="102" t="s">
        <v>208</v>
      </c>
      <c r="D21" s="102" t="s">
        <v>51</v>
      </c>
      <c r="E21" s="102" t="s">
        <v>92</v>
      </c>
      <c r="F21" s="102" t="s">
        <v>93</v>
      </c>
      <c r="G21" s="73" t="s">
        <v>163</v>
      </c>
      <c r="H21" s="74" t="s">
        <v>25</v>
      </c>
      <c r="I21" s="74">
        <v>93971</v>
      </c>
      <c r="J21" s="75">
        <f t="shared" ref="J21:J28" si="0">I21/72</f>
        <v>1305.1500000000001</v>
      </c>
      <c r="K21" s="76">
        <v>17</v>
      </c>
      <c r="L21" s="77">
        <f t="shared" ref="L21:L40" si="1">J21*K21</f>
        <v>22188</v>
      </c>
      <c r="M21" s="102"/>
      <c r="N21" s="102"/>
      <c r="O21" s="102">
        <v>25</v>
      </c>
      <c r="P21" s="102">
        <v>10.199999999999999</v>
      </c>
      <c r="Q21" s="77">
        <f t="shared" ref="Q21" si="2">17697*25%/72*P21</f>
        <v>627</v>
      </c>
      <c r="R21" s="102"/>
      <c r="S21" s="102"/>
      <c r="T21" s="77"/>
      <c r="U21" s="77">
        <f t="shared" ref="U21:U40" si="3">L21*10%</f>
        <v>2219</v>
      </c>
      <c r="V21" s="77">
        <f t="shared" ref="V21:V40" si="4">M21+N21+Q21+R21+T21+U21+S21+L21</f>
        <v>25034</v>
      </c>
    </row>
    <row r="22" spans="1:22" s="42" customFormat="1" ht="53.25" customHeight="1">
      <c r="A22" s="102">
        <v>3</v>
      </c>
      <c r="B22" s="80"/>
      <c r="C22" s="81" t="s">
        <v>60</v>
      </c>
      <c r="D22" s="102" t="s">
        <v>51</v>
      </c>
      <c r="E22" s="83" t="s">
        <v>61</v>
      </c>
      <c r="F22" s="80" t="s">
        <v>62</v>
      </c>
      <c r="G22" s="82" t="s">
        <v>156</v>
      </c>
      <c r="H22" s="74" t="s">
        <v>25</v>
      </c>
      <c r="I22" s="82">
        <v>89016</v>
      </c>
      <c r="J22" s="75">
        <f t="shared" si="0"/>
        <v>1236.33</v>
      </c>
      <c r="K22" s="76">
        <v>14</v>
      </c>
      <c r="L22" s="77">
        <f t="shared" si="1"/>
        <v>17309</v>
      </c>
      <c r="M22" s="102"/>
      <c r="N22" s="102"/>
      <c r="O22" s="102">
        <v>25</v>
      </c>
      <c r="P22" s="102">
        <v>5.6</v>
      </c>
      <c r="Q22" s="77">
        <f>17697*25%/72*P22</f>
        <v>344</v>
      </c>
      <c r="R22" s="102"/>
      <c r="S22" s="102"/>
      <c r="T22" s="77"/>
      <c r="U22" s="77">
        <f t="shared" si="3"/>
        <v>1731</v>
      </c>
      <c r="V22" s="77">
        <f t="shared" si="4"/>
        <v>19384</v>
      </c>
    </row>
    <row r="23" spans="1:22" s="42" customFormat="1" ht="30" customHeight="1">
      <c r="A23" s="73">
        <v>4</v>
      </c>
      <c r="B23" s="80"/>
      <c r="C23" s="37" t="s">
        <v>77</v>
      </c>
      <c r="D23" s="102" t="s">
        <v>51</v>
      </c>
      <c r="E23" s="83" t="s">
        <v>75</v>
      </c>
      <c r="F23" s="80" t="s">
        <v>76</v>
      </c>
      <c r="G23" s="80" t="s">
        <v>152</v>
      </c>
      <c r="H23" s="74" t="s">
        <v>25</v>
      </c>
      <c r="I23" s="82">
        <v>90609</v>
      </c>
      <c r="J23" s="75">
        <f t="shared" si="0"/>
        <v>1258.46</v>
      </c>
      <c r="K23" s="76">
        <v>7.2</v>
      </c>
      <c r="L23" s="77">
        <f t="shared" si="1"/>
        <v>9061</v>
      </c>
      <c r="M23" s="102"/>
      <c r="N23" s="102"/>
      <c r="O23" s="102">
        <v>20</v>
      </c>
      <c r="P23" s="102">
        <v>7.2</v>
      </c>
      <c r="Q23" s="77">
        <f>17697*20%/72*P23</f>
        <v>354</v>
      </c>
      <c r="R23" s="102"/>
      <c r="S23" s="102"/>
      <c r="T23" s="77"/>
      <c r="U23" s="77">
        <f t="shared" si="3"/>
        <v>906</v>
      </c>
      <c r="V23" s="77">
        <f t="shared" si="4"/>
        <v>10321</v>
      </c>
    </row>
    <row r="24" spans="1:22" s="42" customFormat="1" ht="32.25" customHeight="1">
      <c r="A24" s="102">
        <v>5</v>
      </c>
      <c r="B24" s="37"/>
      <c r="C24" s="37" t="s">
        <v>77</v>
      </c>
      <c r="D24" s="102" t="s">
        <v>51</v>
      </c>
      <c r="E24" s="37" t="s">
        <v>78</v>
      </c>
      <c r="F24" s="37" t="s">
        <v>79</v>
      </c>
      <c r="G24" s="80" t="s">
        <v>155</v>
      </c>
      <c r="H24" s="82" t="s">
        <v>25</v>
      </c>
      <c r="I24" s="82">
        <v>87246</v>
      </c>
      <c r="J24" s="75">
        <f t="shared" si="0"/>
        <v>1211.75</v>
      </c>
      <c r="K24" s="102">
        <v>7.2</v>
      </c>
      <c r="L24" s="77">
        <f t="shared" si="1"/>
        <v>8725</v>
      </c>
      <c r="M24" s="102"/>
      <c r="N24" s="102"/>
      <c r="O24" s="102">
        <v>20</v>
      </c>
      <c r="P24" s="102">
        <v>7.2</v>
      </c>
      <c r="Q24" s="77">
        <f>17697*20%/72*P24</f>
        <v>354</v>
      </c>
      <c r="R24" s="102"/>
      <c r="S24" s="102"/>
      <c r="T24" s="77"/>
      <c r="U24" s="77">
        <f t="shared" si="3"/>
        <v>873</v>
      </c>
      <c r="V24" s="77">
        <f t="shared" si="4"/>
        <v>9952</v>
      </c>
    </row>
    <row r="25" spans="1:22" s="42" customFormat="1" ht="28.5" customHeight="1">
      <c r="A25" s="73">
        <v>6</v>
      </c>
      <c r="B25" s="73"/>
      <c r="C25" s="85" t="s">
        <v>212</v>
      </c>
      <c r="D25" s="102" t="s">
        <v>51</v>
      </c>
      <c r="E25" s="73" t="s">
        <v>68</v>
      </c>
      <c r="F25" s="73" t="s">
        <v>69</v>
      </c>
      <c r="G25" s="73" t="s">
        <v>151</v>
      </c>
      <c r="H25" s="74" t="s">
        <v>25</v>
      </c>
      <c r="I25" s="74">
        <v>93971</v>
      </c>
      <c r="J25" s="75">
        <f t="shared" si="0"/>
        <v>1305.1500000000001</v>
      </c>
      <c r="K25" s="76">
        <v>9</v>
      </c>
      <c r="L25" s="77">
        <f t="shared" si="1"/>
        <v>11746</v>
      </c>
      <c r="M25" s="102"/>
      <c r="N25" s="102"/>
      <c r="O25" s="102"/>
      <c r="P25" s="102"/>
      <c r="Q25" s="77">
        <f t="shared" ref="Q25:Q28" si="5">17697*20%/72*P25</f>
        <v>0</v>
      </c>
      <c r="R25" s="102"/>
      <c r="S25" s="102"/>
      <c r="T25" s="77"/>
      <c r="U25" s="77">
        <f t="shared" si="3"/>
        <v>1175</v>
      </c>
      <c r="V25" s="77">
        <f t="shared" si="4"/>
        <v>12921</v>
      </c>
    </row>
    <row r="26" spans="1:22" s="42" customFormat="1" ht="36.75" customHeight="1">
      <c r="A26" s="102">
        <v>7</v>
      </c>
      <c r="B26" s="73"/>
      <c r="C26" s="85" t="s">
        <v>20</v>
      </c>
      <c r="D26" s="102" t="s">
        <v>51</v>
      </c>
      <c r="E26" s="37" t="s">
        <v>22</v>
      </c>
      <c r="F26" s="37" t="s">
        <v>23</v>
      </c>
      <c r="G26" s="73" t="s">
        <v>99</v>
      </c>
      <c r="H26" s="74" t="s">
        <v>25</v>
      </c>
      <c r="I26" s="74">
        <v>92201</v>
      </c>
      <c r="J26" s="75">
        <f t="shared" si="0"/>
        <v>1280.57</v>
      </c>
      <c r="K26" s="76">
        <v>7.2</v>
      </c>
      <c r="L26" s="77">
        <f t="shared" si="1"/>
        <v>9220</v>
      </c>
      <c r="M26" s="102"/>
      <c r="N26" s="102"/>
      <c r="O26" s="102"/>
      <c r="P26" s="76"/>
      <c r="Q26" s="77">
        <f t="shared" si="5"/>
        <v>0</v>
      </c>
      <c r="R26" s="102"/>
      <c r="S26" s="102"/>
      <c r="T26" s="77"/>
      <c r="U26" s="77">
        <f t="shared" si="3"/>
        <v>922</v>
      </c>
      <c r="V26" s="77">
        <f t="shared" si="4"/>
        <v>10142</v>
      </c>
    </row>
    <row r="27" spans="1:22" s="42" customFormat="1">
      <c r="A27" s="73">
        <v>8</v>
      </c>
      <c r="B27" s="73"/>
      <c r="C27" s="85" t="s">
        <v>117</v>
      </c>
      <c r="D27" s="102" t="s">
        <v>51</v>
      </c>
      <c r="E27" s="73" t="s">
        <v>111</v>
      </c>
      <c r="F27" s="73" t="s">
        <v>118</v>
      </c>
      <c r="G27" s="73" t="s">
        <v>171</v>
      </c>
      <c r="H27" s="74" t="s">
        <v>25</v>
      </c>
      <c r="I27" s="74">
        <v>92201</v>
      </c>
      <c r="J27" s="75">
        <f t="shared" si="0"/>
        <v>1280.57</v>
      </c>
      <c r="K27" s="102">
        <v>15.6</v>
      </c>
      <c r="L27" s="77">
        <f t="shared" si="1"/>
        <v>19977</v>
      </c>
      <c r="M27" s="102"/>
      <c r="N27" s="102"/>
      <c r="O27" s="102">
        <v>20</v>
      </c>
      <c r="P27" s="102">
        <v>15.6</v>
      </c>
      <c r="Q27" s="77">
        <f t="shared" si="5"/>
        <v>767</v>
      </c>
      <c r="R27" s="102"/>
      <c r="S27" s="102"/>
      <c r="T27" s="77"/>
      <c r="U27" s="77">
        <f t="shared" si="3"/>
        <v>1998</v>
      </c>
      <c r="V27" s="77">
        <f t="shared" si="4"/>
        <v>22742</v>
      </c>
    </row>
    <row r="28" spans="1:22" s="42" customFormat="1" ht="27" customHeight="1">
      <c r="A28" s="102">
        <v>9</v>
      </c>
      <c r="B28" s="37"/>
      <c r="C28" s="85" t="s">
        <v>33</v>
      </c>
      <c r="D28" s="102" t="s">
        <v>51</v>
      </c>
      <c r="E28" s="37" t="s">
        <v>34</v>
      </c>
      <c r="F28" s="37" t="s">
        <v>35</v>
      </c>
      <c r="G28" s="82" t="s">
        <v>141</v>
      </c>
      <c r="H28" s="82" t="s">
        <v>25</v>
      </c>
      <c r="I28" s="82">
        <v>85653</v>
      </c>
      <c r="J28" s="75">
        <f t="shared" si="0"/>
        <v>1189.6300000000001</v>
      </c>
      <c r="K28" s="102">
        <v>7.6</v>
      </c>
      <c r="L28" s="77">
        <f t="shared" si="1"/>
        <v>9041</v>
      </c>
      <c r="M28" s="102"/>
      <c r="N28" s="102"/>
      <c r="O28" s="102"/>
      <c r="P28" s="102"/>
      <c r="Q28" s="77">
        <f t="shared" si="5"/>
        <v>0</v>
      </c>
      <c r="R28" s="102"/>
      <c r="S28" s="102"/>
      <c r="T28" s="77"/>
      <c r="U28" s="77">
        <f t="shared" si="3"/>
        <v>904</v>
      </c>
      <c r="V28" s="77">
        <f t="shared" si="4"/>
        <v>9945</v>
      </c>
    </row>
    <row r="29" spans="1:22" s="42" customFormat="1" ht="30" customHeight="1">
      <c r="A29" s="73">
        <v>10</v>
      </c>
      <c r="B29" s="37"/>
      <c r="C29" s="37" t="s">
        <v>210</v>
      </c>
      <c r="D29" s="102" t="s">
        <v>51</v>
      </c>
      <c r="E29" s="37" t="s">
        <v>225</v>
      </c>
      <c r="F29" s="37" t="s">
        <v>226</v>
      </c>
      <c r="G29" s="37" t="s">
        <v>147</v>
      </c>
      <c r="H29" s="80" t="s">
        <v>25</v>
      </c>
      <c r="I29" s="37">
        <v>89016</v>
      </c>
      <c r="J29" s="75">
        <f>I29/72</f>
        <v>1236.33</v>
      </c>
      <c r="K29" s="102">
        <v>3.8</v>
      </c>
      <c r="L29" s="77">
        <f t="shared" si="1"/>
        <v>4698</v>
      </c>
      <c r="M29" s="102"/>
      <c r="N29" s="102"/>
      <c r="O29" s="102"/>
      <c r="P29" s="102"/>
      <c r="Q29" s="77">
        <f>17697*20%/72*P29</f>
        <v>0</v>
      </c>
      <c r="R29" s="102"/>
      <c r="S29" s="102"/>
      <c r="T29" s="77"/>
      <c r="U29" s="77">
        <f t="shared" si="3"/>
        <v>470</v>
      </c>
      <c r="V29" s="77">
        <f t="shared" si="4"/>
        <v>5168</v>
      </c>
    </row>
    <row r="30" spans="1:22" s="42" customFormat="1" ht="29.25" customHeight="1">
      <c r="A30" s="102">
        <v>11</v>
      </c>
      <c r="B30" s="83"/>
      <c r="C30" s="80" t="s">
        <v>110</v>
      </c>
      <c r="D30" s="102" t="s">
        <v>51</v>
      </c>
      <c r="E30" s="80" t="s">
        <v>111</v>
      </c>
      <c r="F30" s="80" t="s">
        <v>112</v>
      </c>
      <c r="G30" s="80" t="s">
        <v>169</v>
      </c>
      <c r="H30" s="82" t="s">
        <v>25</v>
      </c>
      <c r="I30" s="82">
        <v>92201</v>
      </c>
      <c r="J30" s="75">
        <f t="shared" ref="J30" si="6">I30/72</f>
        <v>1280.57</v>
      </c>
      <c r="K30" s="102">
        <v>14.6</v>
      </c>
      <c r="L30" s="77">
        <f t="shared" si="1"/>
        <v>18696</v>
      </c>
      <c r="M30" s="102"/>
      <c r="N30" s="102"/>
      <c r="O30" s="102">
        <v>20</v>
      </c>
      <c r="P30" s="102">
        <v>14.6</v>
      </c>
      <c r="Q30" s="77">
        <f>17697*20%/72*P30</f>
        <v>718</v>
      </c>
      <c r="R30" s="102"/>
      <c r="S30" s="102"/>
      <c r="T30" s="77"/>
      <c r="U30" s="77">
        <f t="shared" si="3"/>
        <v>1870</v>
      </c>
      <c r="V30" s="77">
        <f t="shared" si="4"/>
        <v>21284</v>
      </c>
    </row>
    <row r="31" spans="1:22" s="42" customFormat="1" ht="28.5" customHeight="1">
      <c r="A31" s="73">
        <v>12</v>
      </c>
      <c r="B31" s="80"/>
      <c r="C31" s="81" t="s">
        <v>239</v>
      </c>
      <c r="D31" s="102" t="s">
        <v>51</v>
      </c>
      <c r="E31" s="37" t="s">
        <v>90</v>
      </c>
      <c r="F31" s="80" t="s">
        <v>91</v>
      </c>
      <c r="G31" s="80" t="s">
        <v>162</v>
      </c>
      <c r="H31" s="74" t="s">
        <v>25</v>
      </c>
      <c r="I31" s="82">
        <v>92201</v>
      </c>
      <c r="J31" s="75">
        <f>I31/72</f>
        <v>1280.57</v>
      </c>
      <c r="K31" s="76">
        <f>11.6+5.4</f>
        <v>17</v>
      </c>
      <c r="L31" s="77">
        <f t="shared" si="1"/>
        <v>21770</v>
      </c>
      <c r="M31" s="102"/>
      <c r="N31" s="102"/>
      <c r="O31" s="102">
        <v>20</v>
      </c>
      <c r="P31" s="102">
        <v>11.6</v>
      </c>
      <c r="Q31" s="77">
        <f>17697*20%/72*P31</f>
        <v>570</v>
      </c>
      <c r="R31" s="102"/>
      <c r="S31" s="102"/>
      <c r="T31" s="77"/>
      <c r="U31" s="77">
        <f t="shared" si="3"/>
        <v>2177</v>
      </c>
      <c r="V31" s="77">
        <f t="shared" si="4"/>
        <v>24517</v>
      </c>
    </row>
    <row r="32" spans="1:22" s="42" customFormat="1" ht="41.25" customHeight="1">
      <c r="A32" s="102">
        <v>13</v>
      </c>
      <c r="B32" s="37"/>
      <c r="C32" s="360" t="s">
        <v>537</v>
      </c>
      <c r="D32" s="102" t="s">
        <v>51</v>
      </c>
      <c r="E32" s="80" t="s">
        <v>63</v>
      </c>
      <c r="F32" s="80" t="s">
        <v>64</v>
      </c>
      <c r="G32" s="80" t="s">
        <v>157</v>
      </c>
      <c r="H32" s="82" t="s">
        <v>25</v>
      </c>
      <c r="I32" s="82">
        <v>90609</v>
      </c>
      <c r="J32" s="75">
        <f>I32/72</f>
        <v>1258.46</v>
      </c>
      <c r="K32" s="76">
        <f>3.6+2</f>
        <v>5.6</v>
      </c>
      <c r="L32" s="77">
        <f t="shared" si="1"/>
        <v>7047</v>
      </c>
      <c r="M32" s="102"/>
      <c r="N32" s="102"/>
      <c r="O32" s="102"/>
      <c r="P32" s="102"/>
      <c r="Q32" s="77">
        <f>17697*20%/72*P32</f>
        <v>0</v>
      </c>
      <c r="R32" s="102"/>
      <c r="S32" s="102"/>
      <c r="T32" s="77"/>
      <c r="U32" s="77">
        <f t="shared" si="3"/>
        <v>705</v>
      </c>
      <c r="V32" s="77">
        <f t="shared" si="4"/>
        <v>7752</v>
      </c>
    </row>
    <row r="33" spans="1:22" s="42" customFormat="1" ht="27" customHeight="1">
      <c r="A33" s="73">
        <v>14</v>
      </c>
      <c r="B33" s="83"/>
      <c r="C33" s="81" t="s">
        <v>100</v>
      </c>
      <c r="D33" s="102" t="s">
        <v>51</v>
      </c>
      <c r="E33" s="80" t="s">
        <v>132</v>
      </c>
      <c r="F33" s="80" t="s">
        <v>133</v>
      </c>
      <c r="G33" s="80" t="s">
        <v>175</v>
      </c>
      <c r="H33" s="74" t="s">
        <v>42</v>
      </c>
      <c r="I33" s="82">
        <v>85653</v>
      </c>
      <c r="J33" s="75">
        <f t="shared" ref="J33:J40" si="7">I33/72</f>
        <v>1189.6300000000001</v>
      </c>
      <c r="K33" s="76">
        <v>11.6</v>
      </c>
      <c r="L33" s="77">
        <f t="shared" si="1"/>
        <v>13800</v>
      </c>
      <c r="M33" s="102"/>
      <c r="N33" s="102"/>
      <c r="O33" s="102"/>
      <c r="P33" s="102"/>
      <c r="Q33" s="77">
        <f t="shared" ref="Q33:Q40" si="8">17697*20%/72*P33</f>
        <v>0</v>
      </c>
      <c r="R33" s="102"/>
      <c r="S33" s="102"/>
      <c r="T33" s="77"/>
      <c r="U33" s="77">
        <f t="shared" si="3"/>
        <v>1380</v>
      </c>
      <c r="V33" s="77">
        <f t="shared" si="4"/>
        <v>15180</v>
      </c>
    </row>
    <row r="34" spans="1:22" s="42" customFormat="1" ht="32.25" customHeight="1">
      <c r="A34" s="102">
        <v>15</v>
      </c>
      <c r="B34" s="37"/>
      <c r="C34" s="81" t="s">
        <v>100</v>
      </c>
      <c r="D34" s="102" t="s">
        <v>51</v>
      </c>
      <c r="E34" s="37" t="s">
        <v>237</v>
      </c>
      <c r="F34" s="37" t="s">
        <v>238</v>
      </c>
      <c r="G34" s="36" t="s">
        <v>32</v>
      </c>
      <c r="H34" s="74" t="s">
        <v>42</v>
      </c>
      <c r="I34" s="36">
        <v>82468</v>
      </c>
      <c r="J34" s="75">
        <f t="shared" si="7"/>
        <v>1145.3900000000001</v>
      </c>
      <c r="K34" s="76">
        <v>15.2</v>
      </c>
      <c r="L34" s="77">
        <f t="shared" si="1"/>
        <v>17410</v>
      </c>
      <c r="M34" s="102"/>
      <c r="N34" s="102"/>
      <c r="O34" s="102"/>
      <c r="P34" s="102"/>
      <c r="Q34" s="77">
        <f t="shared" si="8"/>
        <v>0</v>
      </c>
      <c r="R34" s="102"/>
      <c r="S34" s="102"/>
      <c r="T34" s="77"/>
      <c r="U34" s="77">
        <f t="shared" si="3"/>
        <v>1741</v>
      </c>
      <c r="V34" s="77">
        <f t="shared" si="4"/>
        <v>19151</v>
      </c>
    </row>
    <row r="35" spans="1:22" s="42" customFormat="1" ht="34.5" customHeight="1">
      <c r="A35" s="73">
        <v>16</v>
      </c>
      <c r="B35" s="37"/>
      <c r="C35" s="81" t="s">
        <v>45</v>
      </c>
      <c r="D35" s="102" t="s">
        <v>51</v>
      </c>
      <c r="E35" s="37" t="s">
        <v>46</v>
      </c>
      <c r="F35" s="80" t="s">
        <v>47</v>
      </c>
      <c r="G35" s="80" t="s">
        <v>178</v>
      </c>
      <c r="H35" s="82" t="s">
        <v>25</v>
      </c>
      <c r="I35" s="82">
        <v>93971</v>
      </c>
      <c r="J35" s="75">
        <f t="shared" si="7"/>
        <v>1305.1500000000001</v>
      </c>
      <c r="K35" s="76">
        <v>5</v>
      </c>
      <c r="L35" s="77">
        <f t="shared" si="1"/>
        <v>6526</v>
      </c>
      <c r="M35" s="102"/>
      <c r="N35" s="102"/>
      <c r="O35" s="102"/>
      <c r="P35" s="102"/>
      <c r="Q35" s="77">
        <f t="shared" si="8"/>
        <v>0</v>
      </c>
      <c r="R35" s="102"/>
      <c r="S35" s="102"/>
      <c r="T35" s="77"/>
      <c r="U35" s="77">
        <f t="shared" si="3"/>
        <v>653</v>
      </c>
      <c r="V35" s="77">
        <f t="shared" si="4"/>
        <v>7179</v>
      </c>
    </row>
    <row r="36" spans="1:22" s="42" customFormat="1" ht="30" customHeight="1">
      <c r="A36" s="102">
        <v>17</v>
      </c>
      <c r="B36" s="37"/>
      <c r="C36" s="37" t="s">
        <v>355</v>
      </c>
      <c r="D36" s="102" t="s">
        <v>51</v>
      </c>
      <c r="E36" s="37" t="s">
        <v>31</v>
      </c>
      <c r="F36" s="37" t="s">
        <v>242</v>
      </c>
      <c r="G36" s="80" t="s">
        <v>145</v>
      </c>
      <c r="H36" s="82" t="s">
        <v>25</v>
      </c>
      <c r="I36" s="82">
        <v>85653</v>
      </c>
      <c r="J36" s="75">
        <f t="shared" si="7"/>
        <v>1189.6300000000001</v>
      </c>
      <c r="K36" s="76">
        <v>3.4</v>
      </c>
      <c r="L36" s="77">
        <f t="shared" si="1"/>
        <v>4045</v>
      </c>
      <c r="M36" s="102"/>
      <c r="N36" s="102"/>
      <c r="O36" s="102"/>
      <c r="P36" s="102"/>
      <c r="Q36" s="77">
        <f t="shared" si="8"/>
        <v>0</v>
      </c>
      <c r="R36" s="102"/>
      <c r="S36" s="102"/>
      <c r="T36" s="77"/>
      <c r="U36" s="77">
        <f t="shared" si="3"/>
        <v>405</v>
      </c>
      <c r="V36" s="77">
        <f t="shared" si="4"/>
        <v>4450</v>
      </c>
    </row>
    <row r="37" spans="1:22" s="42" customFormat="1" ht="30" customHeight="1">
      <c r="A37" s="73">
        <v>18</v>
      </c>
      <c r="B37" s="37"/>
      <c r="C37" s="204" t="s">
        <v>493</v>
      </c>
      <c r="D37" s="102"/>
      <c r="E37" s="37"/>
      <c r="F37" s="37"/>
      <c r="G37" s="80"/>
      <c r="H37" s="82"/>
      <c r="I37" s="82"/>
      <c r="J37" s="75"/>
      <c r="K37" s="76"/>
      <c r="L37" s="77"/>
      <c r="M37" s="102">
        <v>4424</v>
      </c>
      <c r="N37" s="102"/>
      <c r="O37" s="102"/>
      <c r="P37" s="102"/>
      <c r="Q37" s="77"/>
      <c r="R37" s="102"/>
      <c r="S37" s="102"/>
      <c r="T37" s="77"/>
      <c r="U37" s="77"/>
      <c r="V37" s="77">
        <f t="shared" si="4"/>
        <v>4424</v>
      </c>
    </row>
    <row r="38" spans="1:22" s="42" customFormat="1" ht="30" customHeight="1">
      <c r="A38" s="102">
        <v>19</v>
      </c>
      <c r="B38" s="89"/>
      <c r="C38" s="89" t="s">
        <v>218</v>
      </c>
      <c r="D38" s="102" t="s">
        <v>51</v>
      </c>
      <c r="E38" s="89"/>
      <c r="F38" s="89"/>
      <c r="G38" s="89" t="s">
        <v>50</v>
      </c>
      <c r="H38" s="80" t="s">
        <v>25</v>
      </c>
      <c r="I38" s="36">
        <v>85653</v>
      </c>
      <c r="J38" s="75">
        <f t="shared" si="7"/>
        <v>1189.6300000000001</v>
      </c>
      <c r="K38" s="76">
        <v>3.8</v>
      </c>
      <c r="L38" s="77">
        <f t="shared" si="1"/>
        <v>4521</v>
      </c>
      <c r="M38" s="102"/>
      <c r="N38" s="102"/>
      <c r="O38" s="102"/>
      <c r="P38" s="102"/>
      <c r="Q38" s="77">
        <f t="shared" si="8"/>
        <v>0</v>
      </c>
      <c r="R38" s="102"/>
      <c r="S38" s="102"/>
      <c r="T38" s="77"/>
      <c r="U38" s="77">
        <f t="shared" si="3"/>
        <v>452</v>
      </c>
      <c r="V38" s="77">
        <f t="shared" si="4"/>
        <v>4973</v>
      </c>
    </row>
    <row r="39" spans="1:22" s="42" customFormat="1" ht="31.5" customHeight="1">
      <c r="A39" s="73">
        <v>20</v>
      </c>
      <c r="B39" s="89"/>
      <c r="C39" s="89" t="s">
        <v>251</v>
      </c>
      <c r="D39" s="102" t="s">
        <v>51</v>
      </c>
      <c r="E39" s="89"/>
      <c r="F39" s="89"/>
      <c r="G39" s="89" t="s">
        <v>50</v>
      </c>
      <c r="H39" s="80" t="s">
        <v>25</v>
      </c>
      <c r="I39" s="36">
        <v>85653</v>
      </c>
      <c r="J39" s="75">
        <f t="shared" si="7"/>
        <v>1189.6300000000001</v>
      </c>
      <c r="K39" s="76">
        <v>0.6</v>
      </c>
      <c r="L39" s="77">
        <f t="shared" si="1"/>
        <v>714</v>
      </c>
      <c r="M39" s="102"/>
      <c r="N39" s="102"/>
      <c r="O39" s="102"/>
      <c r="P39" s="102"/>
      <c r="Q39" s="77">
        <f t="shared" si="8"/>
        <v>0</v>
      </c>
      <c r="R39" s="102"/>
      <c r="S39" s="102"/>
      <c r="T39" s="77"/>
      <c r="U39" s="77">
        <f t="shared" si="3"/>
        <v>71</v>
      </c>
      <c r="V39" s="77">
        <f t="shared" si="4"/>
        <v>785</v>
      </c>
    </row>
    <row r="40" spans="1:22" s="42" customFormat="1" ht="27.75" customHeight="1">
      <c r="A40" s="102">
        <v>21</v>
      </c>
      <c r="B40" s="37"/>
      <c r="C40" s="85" t="s">
        <v>323</v>
      </c>
      <c r="D40" s="102" t="s">
        <v>51</v>
      </c>
      <c r="E40" s="37"/>
      <c r="F40" s="37"/>
      <c r="G40" s="36" t="s">
        <v>50</v>
      </c>
      <c r="H40" s="82" t="s">
        <v>42</v>
      </c>
      <c r="I40" s="36">
        <v>85653</v>
      </c>
      <c r="J40" s="75">
        <f t="shared" si="7"/>
        <v>1189.6300000000001</v>
      </c>
      <c r="K40" s="102">
        <f>7.2+10</f>
        <v>17.2</v>
      </c>
      <c r="L40" s="77">
        <f t="shared" si="1"/>
        <v>20462</v>
      </c>
      <c r="M40" s="102"/>
      <c r="N40" s="102"/>
      <c r="O40" s="102"/>
      <c r="P40" s="102"/>
      <c r="Q40" s="77">
        <f t="shared" si="8"/>
        <v>0</v>
      </c>
      <c r="R40" s="102"/>
      <c r="S40" s="102"/>
      <c r="T40" s="77"/>
      <c r="U40" s="77">
        <f t="shared" si="3"/>
        <v>2046</v>
      </c>
      <c r="V40" s="77">
        <f t="shared" si="4"/>
        <v>22508</v>
      </c>
    </row>
    <row r="41" spans="1:22" s="42" customFormat="1">
      <c r="A41" s="102"/>
      <c r="B41" s="102" t="s">
        <v>8</v>
      </c>
      <c r="C41" s="102"/>
      <c r="D41" s="102"/>
      <c r="E41" s="102"/>
      <c r="F41" s="102"/>
      <c r="G41" s="102"/>
      <c r="H41" s="102"/>
      <c r="I41" s="102"/>
      <c r="J41" s="75"/>
      <c r="K41" s="76">
        <f>SUM(K20:K40)</f>
        <v>199.6</v>
      </c>
      <c r="L41" s="76">
        <f t="shared" ref="L41:V41" si="9">SUM(L20:L40)</f>
        <v>248726</v>
      </c>
      <c r="M41" s="76">
        <f t="shared" si="9"/>
        <v>4424</v>
      </c>
      <c r="N41" s="76">
        <f t="shared" si="9"/>
        <v>0</v>
      </c>
      <c r="O41" s="76"/>
      <c r="P41" s="76">
        <f t="shared" si="9"/>
        <v>82.2</v>
      </c>
      <c r="Q41" s="76">
        <f t="shared" si="9"/>
        <v>4361</v>
      </c>
      <c r="R41" s="76">
        <f t="shared" si="9"/>
        <v>0</v>
      </c>
      <c r="S41" s="76">
        <f t="shared" si="9"/>
        <v>0</v>
      </c>
      <c r="T41" s="76">
        <f t="shared" si="9"/>
        <v>0</v>
      </c>
      <c r="U41" s="76">
        <f t="shared" si="9"/>
        <v>24875</v>
      </c>
      <c r="V41" s="76">
        <f t="shared" si="9"/>
        <v>282386</v>
      </c>
    </row>
    <row r="42" spans="1:22" s="42" customFormat="1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 t="s">
        <v>213</v>
      </c>
      <c r="P42" s="96"/>
      <c r="Q42" s="96"/>
      <c r="R42" s="96"/>
      <c r="S42" s="97"/>
      <c r="T42" s="97"/>
      <c r="U42" s="98"/>
      <c r="V42" s="98"/>
    </row>
    <row r="43" spans="1:22" s="42" customFormat="1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</row>
    <row r="44" spans="1:22" s="42" customFormat="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</row>
    <row r="45" spans="1:22" s="42" customFormat="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</row>
    <row r="46" spans="1:22" s="42" customFormat="1">
      <c r="A46" s="99" t="s">
        <v>0</v>
      </c>
      <c r="B46" s="99"/>
      <c r="C46" s="99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69" t="s">
        <v>1</v>
      </c>
      <c r="O46" s="69"/>
      <c r="P46" s="69"/>
      <c r="Q46" s="69"/>
      <c r="R46" s="69"/>
      <c r="S46" s="69"/>
      <c r="T46" s="69"/>
      <c r="U46" s="70"/>
      <c r="V46" s="70"/>
    </row>
    <row r="47" spans="1:22" s="42" customFormat="1">
      <c r="A47" s="99" t="s">
        <v>2</v>
      </c>
      <c r="B47" s="99"/>
      <c r="C47" s="99"/>
      <c r="D47" s="99"/>
      <c r="E47" s="100"/>
      <c r="F47" s="100"/>
      <c r="G47" s="100"/>
      <c r="H47" s="100"/>
      <c r="I47" s="100"/>
      <c r="J47" s="100"/>
      <c r="K47" s="100"/>
      <c r="L47" s="100"/>
      <c r="M47" s="100"/>
      <c r="N47" s="69" t="s">
        <v>3</v>
      </c>
      <c r="O47" s="69"/>
      <c r="P47" s="69"/>
      <c r="Q47" s="69"/>
      <c r="R47" s="69"/>
      <c r="S47" s="69"/>
      <c r="T47" s="69"/>
      <c r="U47" s="70"/>
      <c r="V47" s="70"/>
    </row>
    <row r="48" spans="1:22" s="42" customFormat="1">
      <c r="A48" s="99"/>
      <c r="B48" s="99"/>
      <c r="C48" s="99"/>
      <c r="D48" s="99"/>
      <c r="E48" s="100"/>
      <c r="F48" s="100"/>
      <c r="G48" s="100"/>
      <c r="H48" s="100"/>
      <c r="I48" s="100"/>
      <c r="J48" s="100"/>
      <c r="K48" s="100"/>
      <c r="L48" s="100"/>
      <c r="M48" s="100"/>
      <c r="N48" s="68" t="s">
        <v>4</v>
      </c>
      <c r="O48" s="68"/>
      <c r="P48" s="68"/>
      <c r="Q48" s="68"/>
      <c r="R48" s="68"/>
      <c r="S48" s="68"/>
      <c r="T48" s="68"/>
      <c r="U48" s="70"/>
      <c r="V48" s="70"/>
    </row>
    <row r="49" spans="1:22" s="42" customFormat="1">
      <c r="A49" s="99" t="s">
        <v>5</v>
      </c>
      <c r="B49" s="99"/>
      <c r="C49" s="99" t="s">
        <v>6</v>
      </c>
      <c r="D49" s="99"/>
      <c r="E49" s="462" t="s">
        <v>183</v>
      </c>
      <c r="F49" s="462"/>
      <c r="G49" s="462"/>
      <c r="H49" s="462"/>
      <c r="I49" s="462"/>
      <c r="J49" s="462"/>
      <c r="K49" s="462"/>
      <c r="L49" s="462"/>
      <c r="M49" s="70"/>
      <c r="N49" s="69" t="s">
        <v>139</v>
      </c>
      <c r="O49" s="69"/>
      <c r="P49" s="69"/>
      <c r="Q49" s="69"/>
      <c r="R49" s="69"/>
      <c r="S49" s="69"/>
      <c r="T49" s="69"/>
      <c r="U49" s="70"/>
      <c r="V49" s="70"/>
    </row>
    <row r="50" spans="1:22" s="42" customFormat="1">
      <c r="A50" s="99"/>
      <c r="B50" s="99"/>
      <c r="C50" s="99"/>
      <c r="D50" s="99"/>
      <c r="E50" s="463" t="s">
        <v>184</v>
      </c>
      <c r="F50" s="463"/>
      <c r="G50" s="463"/>
      <c r="H50" s="463"/>
      <c r="I50" s="463"/>
      <c r="J50" s="463"/>
      <c r="K50" s="463"/>
      <c r="L50" s="463"/>
      <c r="M50" s="463"/>
      <c r="N50" s="100"/>
      <c r="O50" s="100"/>
      <c r="P50" s="100"/>
      <c r="Q50" s="100"/>
      <c r="R50" s="100"/>
      <c r="S50" s="100"/>
      <c r="T50" s="100"/>
      <c r="U50" s="100"/>
      <c r="V50" s="70"/>
    </row>
    <row r="51" spans="1:22" s="42" customFormat="1">
      <c r="A51" s="100"/>
      <c r="B51" s="100"/>
      <c r="C51" s="100"/>
      <c r="D51" s="100"/>
      <c r="E51" s="464" t="s">
        <v>219</v>
      </c>
      <c r="F51" s="464"/>
      <c r="G51" s="464"/>
      <c r="H51" s="464"/>
      <c r="I51" s="464"/>
      <c r="J51" s="464"/>
      <c r="K51" s="464"/>
      <c r="L51" s="464"/>
      <c r="M51" s="464"/>
      <c r="N51" s="100"/>
      <c r="O51" s="100"/>
      <c r="P51" s="100"/>
      <c r="Q51" s="100"/>
      <c r="R51" s="100"/>
      <c r="S51" s="100"/>
      <c r="T51" s="100"/>
      <c r="U51" s="100"/>
      <c r="V51" s="70"/>
    </row>
    <row r="52" spans="1:22" s="42" customFormat="1">
      <c r="A52" s="100"/>
      <c r="B52" s="100"/>
      <c r="C52" s="100"/>
      <c r="D52" s="100"/>
      <c r="E52" s="464" t="s">
        <v>7</v>
      </c>
      <c r="F52" s="464"/>
      <c r="G52" s="464"/>
      <c r="H52" s="464"/>
      <c r="I52" s="464"/>
      <c r="J52" s="464"/>
      <c r="K52" s="464"/>
      <c r="L52" s="464"/>
      <c r="M52" s="464"/>
      <c r="N52" s="100"/>
      <c r="O52" s="100"/>
      <c r="P52" s="100"/>
      <c r="Q52" s="100"/>
      <c r="R52" s="100"/>
      <c r="S52" s="100"/>
      <c r="T52" s="100"/>
      <c r="U52" s="100"/>
      <c r="V52" s="70"/>
    </row>
    <row r="53" spans="1:22" s="42" customFormat="1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 t="s">
        <v>185</v>
      </c>
      <c r="R53" s="100"/>
      <c r="S53" s="100"/>
      <c r="T53" s="100"/>
      <c r="U53" s="100"/>
      <c r="V53" s="70"/>
    </row>
    <row r="54" spans="1:22" s="42" customFormat="1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 t="s">
        <v>265</v>
      </c>
      <c r="R54" s="100"/>
      <c r="S54" s="100"/>
      <c r="T54" s="100"/>
      <c r="U54" s="100"/>
      <c r="V54" s="70"/>
    </row>
    <row r="55" spans="1:22" s="42" customFormat="1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 t="s">
        <v>186</v>
      </c>
      <c r="R55" s="70"/>
      <c r="S55" s="70"/>
      <c r="T55" s="70" t="s">
        <v>317</v>
      </c>
      <c r="U55" s="70"/>
      <c r="V55" s="70"/>
    </row>
    <row r="56" spans="1:22" s="42" customForma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 t="s">
        <v>188</v>
      </c>
      <c r="R56" s="70"/>
      <c r="S56" s="70"/>
      <c r="T56" s="70">
        <v>2</v>
      </c>
      <c r="U56" s="70"/>
      <c r="V56" s="70"/>
    </row>
    <row r="57" spans="1:22" s="42" customForma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 t="s">
        <v>189</v>
      </c>
      <c r="R57" s="70"/>
      <c r="S57" s="70"/>
      <c r="T57" s="70">
        <v>21</v>
      </c>
      <c r="U57" s="70" t="s">
        <v>190</v>
      </c>
      <c r="V57" s="70"/>
    </row>
    <row r="58" spans="1:22" s="42" customForma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 t="s">
        <v>191</v>
      </c>
      <c r="R58" s="70"/>
      <c r="S58" s="70"/>
      <c r="T58" s="70">
        <v>0</v>
      </c>
      <c r="U58" s="70">
        <f>T58*100/T57</f>
        <v>0</v>
      </c>
      <c r="V58" s="70" t="s">
        <v>17</v>
      </c>
    </row>
    <row r="59" spans="1:22" s="42" customForma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 t="s">
        <v>192</v>
      </c>
      <c r="R59" s="70"/>
      <c r="S59" s="70"/>
      <c r="T59" s="70">
        <v>21</v>
      </c>
      <c r="U59" s="70">
        <f>T59*100/T57</f>
        <v>100</v>
      </c>
      <c r="V59" s="70" t="s">
        <v>17</v>
      </c>
    </row>
    <row r="60" spans="1:22" s="42" customForma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 t="s">
        <v>193</v>
      </c>
      <c r="R60" s="70"/>
      <c r="S60" s="70"/>
      <c r="T60" s="324">
        <f>K82</f>
        <v>161</v>
      </c>
      <c r="U60" s="70"/>
      <c r="V60" s="70"/>
    </row>
    <row r="61" spans="1:22" s="42" customFormat="1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</row>
    <row r="62" spans="1:22" s="42" customFormat="1">
      <c r="A62" s="70"/>
      <c r="B62" s="70" t="s">
        <v>324</v>
      </c>
      <c r="C62" s="70" t="s">
        <v>319</v>
      </c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</row>
    <row r="63" spans="1:22" s="42" customFormat="1">
      <c r="A63" s="459" t="s">
        <v>195</v>
      </c>
      <c r="B63" s="459" t="s">
        <v>196</v>
      </c>
      <c r="C63" s="459" t="s">
        <v>197</v>
      </c>
      <c r="D63" s="459" t="s">
        <v>198</v>
      </c>
      <c r="E63" s="459" t="s">
        <v>10</v>
      </c>
      <c r="F63" s="459" t="s">
        <v>199</v>
      </c>
      <c r="G63" s="459" t="s">
        <v>200</v>
      </c>
      <c r="H63" s="459" t="s">
        <v>201</v>
      </c>
      <c r="I63" s="459" t="s">
        <v>202</v>
      </c>
      <c r="J63" s="459" t="s">
        <v>11</v>
      </c>
      <c r="K63" s="459" t="s">
        <v>203</v>
      </c>
      <c r="L63" s="459" t="s">
        <v>12</v>
      </c>
      <c r="M63" s="458" t="s">
        <v>204</v>
      </c>
      <c r="N63" s="458"/>
      <c r="O63" s="458"/>
      <c r="P63" s="458"/>
      <c r="Q63" s="458"/>
      <c r="R63" s="458"/>
      <c r="S63" s="458"/>
      <c r="T63" s="458"/>
      <c r="U63" s="459" t="s">
        <v>320</v>
      </c>
      <c r="V63" s="459" t="s">
        <v>206</v>
      </c>
    </row>
    <row r="64" spans="1:22" s="42" customFormat="1">
      <c r="A64" s="460"/>
      <c r="B64" s="460"/>
      <c r="C64" s="460"/>
      <c r="D64" s="460"/>
      <c r="E64" s="460"/>
      <c r="F64" s="460"/>
      <c r="G64" s="460"/>
      <c r="H64" s="460"/>
      <c r="I64" s="460"/>
      <c r="J64" s="460"/>
      <c r="K64" s="460"/>
      <c r="L64" s="460"/>
      <c r="M64" s="459" t="s">
        <v>207</v>
      </c>
      <c r="N64" s="459" t="s">
        <v>15</v>
      </c>
      <c r="O64" s="458" t="s">
        <v>16</v>
      </c>
      <c r="P64" s="458"/>
      <c r="Q64" s="458"/>
      <c r="R64" s="459"/>
      <c r="S64" s="459"/>
      <c r="T64" s="459"/>
      <c r="U64" s="460"/>
      <c r="V64" s="460"/>
    </row>
    <row r="65" spans="1:155" s="42" customFormat="1" ht="62.25" customHeight="1">
      <c r="A65" s="461"/>
      <c r="B65" s="461"/>
      <c r="C65" s="461"/>
      <c r="D65" s="461"/>
      <c r="E65" s="461"/>
      <c r="F65" s="461"/>
      <c r="G65" s="461"/>
      <c r="H65" s="461"/>
      <c r="I65" s="461"/>
      <c r="J65" s="461"/>
      <c r="K65" s="461"/>
      <c r="L65" s="461"/>
      <c r="M65" s="461"/>
      <c r="N65" s="461"/>
      <c r="O65" s="71" t="s">
        <v>17</v>
      </c>
      <c r="P65" s="71" t="s">
        <v>18</v>
      </c>
      <c r="Q65" s="71" t="s">
        <v>19</v>
      </c>
      <c r="R65" s="461"/>
      <c r="S65" s="461"/>
      <c r="T65" s="461"/>
      <c r="U65" s="461"/>
      <c r="V65" s="461"/>
    </row>
    <row r="66" spans="1:155" s="42" customFormat="1" ht="28.5" customHeight="1">
      <c r="A66" s="73">
        <v>1</v>
      </c>
      <c r="B66" s="80"/>
      <c r="C66" s="81" t="s">
        <v>60</v>
      </c>
      <c r="D66" s="102" t="s">
        <v>51</v>
      </c>
      <c r="E66" s="83" t="s">
        <v>61</v>
      </c>
      <c r="F66" s="80" t="s">
        <v>62</v>
      </c>
      <c r="G66" s="82" t="s">
        <v>156</v>
      </c>
      <c r="H66" s="74" t="s">
        <v>25</v>
      </c>
      <c r="I66" s="82">
        <v>89016</v>
      </c>
      <c r="J66" s="75">
        <f t="shared" ref="J66:J80" si="10">I66/72</f>
        <v>1236.33</v>
      </c>
      <c r="K66" s="76">
        <v>3</v>
      </c>
      <c r="L66" s="77">
        <f t="shared" ref="L66:L81" si="11">J66*K66</f>
        <v>3709</v>
      </c>
      <c r="M66" s="102"/>
      <c r="N66" s="102"/>
      <c r="O66" s="102">
        <v>25</v>
      </c>
      <c r="P66" s="102">
        <v>1.2</v>
      </c>
      <c r="Q66" s="77">
        <f t="shared" ref="Q66:Q67" si="12">17697*25%/72*P66</f>
        <v>74</v>
      </c>
      <c r="R66" s="102"/>
      <c r="S66" s="102"/>
      <c r="T66" s="77"/>
      <c r="U66" s="77">
        <f>L66*10%</f>
        <v>371</v>
      </c>
      <c r="V66" s="77">
        <f>M66+N66+Q66+R66+T66+U66+S66+L66</f>
        <v>4154</v>
      </c>
    </row>
    <row r="67" spans="1:155" s="42" customFormat="1" ht="28.5" customHeight="1">
      <c r="A67" s="73">
        <v>2</v>
      </c>
      <c r="B67" s="73"/>
      <c r="C67" s="122" t="s">
        <v>28</v>
      </c>
      <c r="D67" s="102" t="s">
        <v>51</v>
      </c>
      <c r="E67" s="73" t="s">
        <v>29</v>
      </c>
      <c r="F67" s="73" t="s">
        <v>30</v>
      </c>
      <c r="G67" s="73" t="s">
        <v>134</v>
      </c>
      <c r="H67" s="74" t="s">
        <v>25</v>
      </c>
      <c r="I67" s="74">
        <v>85653</v>
      </c>
      <c r="J67" s="75">
        <f t="shared" si="10"/>
        <v>1189.6300000000001</v>
      </c>
      <c r="K67" s="76">
        <v>5</v>
      </c>
      <c r="L67" s="77">
        <f t="shared" si="11"/>
        <v>5948</v>
      </c>
      <c r="M67" s="102"/>
      <c r="N67" s="102"/>
      <c r="O67" s="102"/>
      <c r="P67" s="102"/>
      <c r="Q67" s="77">
        <f t="shared" si="12"/>
        <v>0</v>
      </c>
      <c r="R67" s="102"/>
      <c r="S67" s="102"/>
      <c r="T67" s="77"/>
      <c r="U67" s="77">
        <f>L67*10%</f>
        <v>595</v>
      </c>
      <c r="V67" s="77">
        <f>M67+N67+Q67+R67+T67+U67+S67+L67</f>
        <v>6543</v>
      </c>
    </row>
    <row r="68" spans="1:155" s="42" customFormat="1" ht="29.25" customHeight="1">
      <c r="A68" s="73">
        <v>3</v>
      </c>
      <c r="B68" s="79"/>
      <c r="C68" s="86" t="s">
        <v>331</v>
      </c>
      <c r="D68" s="102" t="s">
        <v>51</v>
      </c>
      <c r="E68" s="79" t="s">
        <v>52</v>
      </c>
      <c r="F68" s="79" t="s">
        <v>53</v>
      </c>
      <c r="G68" s="111" t="s">
        <v>148</v>
      </c>
      <c r="H68" s="82" t="s">
        <v>25</v>
      </c>
      <c r="I68" s="74">
        <v>92201</v>
      </c>
      <c r="J68" s="75">
        <f t="shared" si="10"/>
        <v>1280.57</v>
      </c>
      <c r="K68" s="76">
        <v>3.8</v>
      </c>
      <c r="L68" s="77">
        <f t="shared" si="11"/>
        <v>4866</v>
      </c>
      <c r="M68" s="102"/>
      <c r="N68" s="102"/>
      <c r="O68" s="102">
        <v>25</v>
      </c>
      <c r="P68" s="102">
        <v>3.8</v>
      </c>
      <c r="Q68" s="77">
        <f>17697*25%/72*P68</f>
        <v>234</v>
      </c>
      <c r="R68" s="102"/>
      <c r="S68" s="102"/>
      <c r="T68" s="77"/>
      <c r="U68" s="77">
        <f t="shared" ref="U68:U81" si="13">L68*10%</f>
        <v>487</v>
      </c>
      <c r="V68" s="77">
        <f t="shared" ref="V68:V81" si="14">M68+N68+Q68+R68+T68+U68+S68+L68</f>
        <v>5587</v>
      </c>
    </row>
    <row r="69" spans="1:155" s="42" customFormat="1" ht="38.25" customHeight="1">
      <c r="A69" s="73">
        <v>4</v>
      </c>
      <c r="B69" s="37"/>
      <c r="C69" s="37" t="s">
        <v>332</v>
      </c>
      <c r="D69" s="102" t="s">
        <v>51</v>
      </c>
      <c r="E69" s="37" t="s">
        <v>78</v>
      </c>
      <c r="F69" s="37" t="s">
        <v>79</v>
      </c>
      <c r="G69" s="80" t="s">
        <v>155</v>
      </c>
      <c r="H69" s="82" t="s">
        <v>25</v>
      </c>
      <c r="I69" s="82">
        <v>87246</v>
      </c>
      <c r="J69" s="75">
        <f t="shared" si="10"/>
        <v>1211.75</v>
      </c>
      <c r="K69" s="76">
        <v>3.2</v>
      </c>
      <c r="L69" s="77">
        <f t="shared" si="11"/>
        <v>3878</v>
      </c>
      <c r="M69" s="102"/>
      <c r="N69" s="102"/>
      <c r="O69" s="102">
        <v>20</v>
      </c>
      <c r="P69" s="102">
        <v>3.2</v>
      </c>
      <c r="Q69" s="77">
        <f>17697*20%/72*P69</f>
        <v>157</v>
      </c>
      <c r="R69" s="102"/>
      <c r="S69" s="102"/>
      <c r="T69" s="77"/>
      <c r="U69" s="77">
        <f t="shared" si="13"/>
        <v>388</v>
      </c>
      <c r="V69" s="77">
        <f t="shared" si="14"/>
        <v>4423</v>
      </c>
    </row>
    <row r="70" spans="1:155" s="42" customFormat="1" ht="27" customHeight="1">
      <c r="A70" s="73">
        <v>5</v>
      </c>
      <c r="B70" s="83"/>
      <c r="C70" s="81" t="s">
        <v>100</v>
      </c>
      <c r="D70" s="102" t="s">
        <v>51</v>
      </c>
      <c r="E70" s="80" t="s">
        <v>132</v>
      </c>
      <c r="F70" s="80" t="s">
        <v>133</v>
      </c>
      <c r="G70" s="80" t="s">
        <v>175</v>
      </c>
      <c r="H70" s="74" t="s">
        <v>42</v>
      </c>
      <c r="I70" s="82">
        <v>85653</v>
      </c>
      <c r="J70" s="109">
        <f t="shared" si="10"/>
        <v>1189.6300000000001</v>
      </c>
      <c r="K70" s="325">
        <v>3.6</v>
      </c>
      <c r="L70" s="110">
        <f t="shared" si="11"/>
        <v>4283</v>
      </c>
      <c r="M70" s="101"/>
      <c r="N70" s="101"/>
      <c r="O70" s="101"/>
      <c r="P70" s="101"/>
      <c r="Q70" s="110">
        <f>17697*20%/72*P70</f>
        <v>0</v>
      </c>
      <c r="R70" s="101"/>
      <c r="S70" s="101"/>
      <c r="T70" s="110"/>
      <c r="U70" s="110">
        <f t="shared" si="13"/>
        <v>428</v>
      </c>
      <c r="V70" s="77">
        <f t="shared" si="14"/>
        <v>4711</v>
      </c>
    </row>
    <row r="71" spans="1:155" s="45" customFormat="1" ht="70.5" customHeight="1">
      <c r="A71" s="73">
        <v>6</v>
      </c>
      <c r="B71" s="80"/>
      <c r="C71" s="81" t="s">
        <v>326</v>
      </c>
      <c r="D71" s="102" t="s">
        <v>51</v>
      </c>
      <c r="E71" s="80" t="s">
        <v>107</v>
      </c>
      <c r="F71" s="37" t="s">
        <v>108</v>
      </c>
      <c r="G71" s="90" t="s">
        <v>142</v>
      </c>
      <c r="H71" s="82" t="s">
        <v>25</v>
      </c>
      <c r="I71" s="82">
        <v>90609</v>
      </c>
      <c r="J71" s="75">
        <f t="shared" si="10"/>
        <v>1258.46</v>
      </c>
      <c r="K71" s="76">
        <f>3.6+5.2+1.6+3.2</f>
        <v>13.6</v>
      </c>
      <c r="L71" s="77">
        <f t="shared" si="11"/>
        <v>17115</v>
      </c>
      <c r="M71" s="102"/>
      <c r="N71" s="102"/>
      <c r="O71" s="102"/>
      <c r="P71" s="102"/>
      <c r="Q71" s="77">
        <f t="shared" ref="Q71:Q81" si="15">17697*20%/72*P71</f>
        <v>0</v>
      </c>
      <c r="R71" s="102"/>
      <c r="S71" s="102"/>
      <c r="T71" s="77"/>
      <c r="U71" s="77">
        <f t="shared" si="13"/>
        <v>1712</v>
      </c>
      <c r="V71" s="77">
        <f t="shared" si="14"/>
        <v>18827</v>
      </c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</row>
    <row r="72" spans="1:155" s="45" customFormat="1" ht="63.75">
      <c r="A72" s="73">
        <v>7</v>
      </c>
      <c r="B72" s="80"/>
      <c r="C72" s="80" t="s">
        <v>523</v>
      </c>
      <c r="D72" s="102" t="s">
        <v>51</v>
      </c>
      <c r="E72" s="37" t="s">
        <v>26</v>
      </c>
      <c r="F72" s="360" t="s">
        <v>541</v>
      </c>
      <c r="G72" s="80" t="s">
        <v>123</v>
      </c>
      <c r="H72" s="82" t="s">
        <v>25</v>
      </c>
      <c r="I72" s="82">
        <v>89016</v>
      </c>
      <c r="J72" s="75">
        <f t="shared" si="10"/>
        <v>1236.33</v>
      </c>
      <c r="K72" s="76">
        <f>4.6+7+4</f>
        <v>15.6</v>
      </c>
      <c r="L72" s="77">
        <f t="shared" si="11"/>
        <v>19287</v>
      </c>
      <c r="M72" s="102">
        <v>4424</v>
      </c>
      <c r="N72" s="102"/>
      <c r="O72" s="102"/>
      <c r="P72" s="102"/>
      <c r="Q72" s="77">
        <f t="shared" si="15"/>
        <v>0</v>
      </c>
      <c r="R72" s="102"/>
      <c r="S72" s="102"/>
      <c r="T72" s="77"/>
      <c r="U72" s="77">
        <f t="shared" si="13"/>
        <v>1929</v>
      </c>
      <c r="V72" s="77">
        <f t="shared" si="14"/>
        <v>25640</v>
      </c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</row>
    <row r="73" spans="1:155" s="44" customFormat="1" ht="57" customHeight="1">
      <c r="A73" s="73">
        <v>8</v>
      </c>
      <c r="B73" s="80"/>
      <c r="C73" s="80" t="s">
        <v>356</v>
      </c>
      <c r="D73" s="102" t="s">
        <v>51</v>
      </c>
      <c r="E73" s="37" t="s">
        <v>87</v>
      </c>
      <c r="F73" s="80" t="s">
        <v>88</v>
      </c>
      <c r="G73" s="80" t="s">
        <v>161</v>
      </c>
      <c r="H73" s="82" t="s">
        <v>25</v>
      </c>
      <c r="I73" s="82">
        <v>93971</v>
      </c>
      <c r="J73" s="75">
        <f t="shared" si="10"/>
        <v>1305.1500000000001</v>
      </c>
      <c r="K73" s="76">
        <f>7.8+4.5+6.6+7.2</f>
        <v>26.1</v>
      </c>
      <c r="L73" s="77">
        <f t="shared" si="11"/>
        <v>34064</v>
      </c>
      <c r="M73" s="102"/>
      <c r="N73" s="102"/>
      <c r="O73" s="102"/>
      <c r="P73" s="102"/>
      <c r="Q73" s="77">
        <f t="shared" si="15"/>
        <v>0</v>
      </c>
      <c r="R73" s="102"/>
      <c r="S73" s="102"/>
      <c r="T73" s="77"/>
      <c r="U73" s="77">
        <f t="shared" si="13"/>
        <v>3406</v>
      </c>
      <c r="V73" s="77">
        <f t="shared" si="14"/>
        <v>37470</v>
      </c>
    </row>
    <row r="74" spans="1:155" s="44" customFormat="1" ht="36" customHeight="1">
      <c r="A74" s="73">
        <v>9</v>
      </c>
      <c r="B74" s="73"/>
      <c r="C74" s="85" t="s">
        <v>321</v>
      </c>
      <c r="D74" s="102" t="s">
        <v>51</v>
      </c>
      <c r="E74" s="73" t="s">
        <v>111</v>
      </c>
      <c r="F74" s="73" t="s">
        <v>118</v>
      </c>
      <c r="G74" s="73" t="s">
        <v>171</v>
      </c>
      <c r="H74" s="74" t="s">
        <v>25</v>
      </c>
      <c r="I74" s="74">
        <v>92201</v>
      </c>
      <c r="J74" s="75">
        <f t="shared" si="10"/>
        <v>1280.57</v>
      </c>
      <c r="K74" s="76">
        <v>9.6</v>
      </c>
      <c r="L74" s="77">
        <f t="shared" si="11"/>
        <v>12293</v>
      </c>
      <c r="M74" s="102"/>
      <c r="N74" s="102"/>
      <c r="O74" s="102"/>
      <c r="P74" s="102"/>
      <c r="Q74" s="77">
        <f t="shared" si="15"/>
        <v>0</v>
      </c>
      <c r="R74" s="102"/>
      <c r="S74" s="102"/>
      <c r="T74" s="77"/>
      <c r="U74" s="77">
        <f t="shared" si="13"/>
        <v>1229</v>
      </c>
      <c r="V74" s="77">
        <f t="shared" si="14"/>
        <v>13522</v>
      </c>
    </row>
    <row r="75" spans="1:155" s="44" customFormat="1" ht="48.75" customHeight="1">
      <c r="A75" s="73">
        <v>10</v>
      </c>
      <c r="B75" s="37"/>
      <c r="C75" s="37" t="s">
        <v>327</v>
      </c>
      <c r="D75" s="102" t="s">
        <v>51</v>
      </c>
      <c r="E75" s="37" t="s">
        <v>225</v>
      </c>
      <c r="F75" s="37" t="s">
        <v>226</v>
      </c>
      <c r="G75" s="37" t="s">
        <v>147</v>
      </c>
      <c r="H75" s="80" t="s">
        <v>25</v>
      </c>
      <c r="I75" s="37">
        <v>89016</v>
      </c>
      <c r="J75" s="75">
        <f t="shared" si="10"/>
        <v>1236.33</v>
      </c>
      <c r="K75" s="76">
        <v>7</v>
      </c>
      <c r="L75" s="77">
        <f t="shared" si="11"/>
        <v>8654</v>
      </c>
      <c r="M75" s="102"/>
      <c r="N75" s="102"/>
      <c r="O75" s="102"/>
      <c r="P75" s="102"/>
      <c r="Q75" s="77">
        <f t="shared" si="15"/>
        <v>0</v>
      </c>
      <c r="R75" s="102"/>
      <c r="S75" s="102"/>
      <c r="T75" s="77"/>
      <c r="U75" s="77">
        <f t="shared" si="13"/>
        <v>865</v>
      </c>
      <c r="V75" s="77">
        <f t="shared" si="14"/>
        <v>9519</v>
      </c>
    </row>
    <row r="76" spans="1:155" s="44" customFormat="1" ht="48.75" customHeight="1">
      <c r="A76" s="73">
        <v>11</v>
      </c>
      <c r="B76" s="80"/>
      <c r="C76" s="81" t="s">
        <v>328</v>
      </c>
      <c r="D76" s="102" t="s">
        <v>51</v>
      </c>
      <c r="E76" s="80" t="s">
        <v>56</v>
      </c>
      <c r="F76" s="80" t="s">
        <v>57</v>
      </c>
      <c r="G76" s="80" t="s">
        <v>24</v>
      </c>
      <c r="H76" s="82" t="s">
        <v>25</v>
      </c>
      <c r="I76" s="74">
        <v>90609</v>
      </c>
      <c r="J76" s="75">
        <f t="shared" si="10"/>
        <v>1258.46</v>
      </c>
      <c r="K76" s="76">
        <v>7</v>
      </c>
      <c r="L76" s="77">
        <f t="shared" si="11"/>
        <v>8809</v>
      </c>
      <c r="M76" s="102"/>
      <c r="N76" s="102"/>
      <c r="O76" s="102"/>
      <c r="P76" s="102"/>
      <c r="Q76" s="77">
        <f t="shared" si="15"/>
        <v>0</v>
      </c>
      <c r="R76" s="102"/>
      <c r="S76" s="102"/>
      <c r="T76" s="77"/>
      <c r="U76" s="77">
        <f t="shared" si="13"/>
        <v>881</v>
      </c>
      <c r="V76" s="77">
        <f t="shared" si="14"/>
        <v>9690</v>
      </c>
    </row>
    <row r="77" spans="1:155" s="44" customFormat="1" ht="35.25" customHeight="1">
      <c r="A77" s="73">
        <v>12</v>
      </c>
      <c r="B77" s="80"/>
      <c r="C77" s="81" t="s">
        <v>329</v>
      </c>
      <c r="D77" s="102" t="s">
        <v>51</v>
      </c>
      <c r="E77" s="80" t="s">
        <v>97</v>
      </c>
      <c r="F77" s="80" t="s">
        <v>98</v>
      </c>
      <c r="G77" s="80" t="s">
        <v>165</v>
      </c>
      <c r="H77" s="74" t="s">
        <v>25</v>
      </c>
      <c r="I77" s="82">
        <v>92201</v>
      </c>
      <c r="J77" s="75">
        <f t="shared" si="10"/>
        <v>1280.57</v>
      </c>
      <c r="K77" s="76">
        <f>11.9+10.8+3.6</f>
        <v>26.3</v>
      </c>
      <c r="L77" s="77">
        <f t="shared" si="11"/>
        <v>33679</v>
      </c>
      <c r="M77" s="102"/>
      <c r="N77" s="102"/>
      <c r="O77" s="102"/>
      <c r="P77" s="102"/>
      <c r="Q77" s="77">
        <f t="shared" si="15"/>
        <v>0</v>
      </c>
      <c r="R77" s="102"/>
      <c r="S77" s="102"/>
      <c r="T77" s="77"/>
      <c r="U77" s="77">
        <f t="shared" si="13"/>
        <v>3368</v>
      </c>
      <c r="V77" s="77">
        <f t="shared" si="14"/>
        <v>37047</v>
      </c>
    </row>
    <row r="78" spans="1:155" s="42" customFormat="1" ht="51">
      <c r="A78" s="73">
        <v>13</v>
      </c>
      <c r="B78" s="37"/>
      <c r="C78" s="80" t="s">
        <v>120</v>
      </c>
      <c r="D78" s="102" t="s">
        <v>51</v>
      </c>
      <c r="E78" s="37" t="s">
        <v>121</v>
      </c>
      <c r="F78" s="37" t="s">
        <v>122</v>
      </c>
      <c r="G78" s="82" t="s">
        <v>172</v>
      </c>
      <c r="H78" s="82" t="s">
        <v>25</v>
      </c>
      <c r="I78" s="82">
        <v>90609</v>
      </c>
      <c r="J78" s="75">
        <f t="shared" si="10"/>
        <v>1258.46</v>
      </c>
      <c r="K78" s="102">
        <f>7.6+10.8</f>
        <v>18.399999999999999</v>
      </c>
      <c r="L78" s="77">
        <f t="shared" si="11"/>
        <v>23156</v>
      </c>
      <c r="M78" s="102"/>
      <c r="N78" s="102"/>
      <c r="O78" s="102"/>
      <c r="P78" s="102"/>
      <c r="Q78" s="77">
        <f t="shared" si="15"/>
        <v>0</v>
      </c>
      <c r="R78" s="102"/>
      <c r="S78" s="102"/>
      <c r="T78" s="77"/>
      <c r="U78" s="77">
        <f t="shared" si="13"/>
        <v>2316</v>
      </c>
      <c r="V78" s="77">
        <f t="shared" si="14"/>
        <v>25472</v>
      </c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</row>
    <row r="79" spans="1:155" s="42" customFormat="1" ht="63.75">
      <c r="A79" s="73">
        <v>14</v>
      </c>
      <c r="B79" s="83"/>
      <c r="C79" s="37" t="s">
        <v>355</v>
      </c>
      <c r="D79" s="102" t="s">
        <v>51</v>
      </c>
      <c r="E79" s="80" t="s">
        <v>136</v>
      </c>
      <c r="F79" s="37" t="s">
        <v>137</v>
      </c>
      <c r="G79" s="80" t="s">
        <v>176</v>
      </c>
      <c r="H79" s="82" t="s">
        <v>42</v>
      </c>
      <c r="I79" s="74">
        <v>90609</v>
      </c>
      <c r="J79" s="75">
        <f t="shared" si="10"/>
        <v>1258.46</v>
      </c>
      <c r="K79" s="102">
        <v>3.4</v>
      </c>
      <c r="L79" s="77">
        <f t="shared" si="11"/>
        <v>4279</v>
      </c>
      <c r="M79" s="102"/>
      <c r="N79" s="102"/>
      <c r="O79" s="102"/>
      <c r="P79" s="102"/>
      <c r="Q79" s="77">
        <f t="shared" si="15"/>
        <v>0</v>
      </c>
      <c r="R79" s="102"/>
      <c r="S79" s="102"/>
      <c r="T79" s="77"/>
      <c r="U79" s="77">
        <f t="shared" si="13"/>
        <v>428</v>
      </c>
      <c r="V79" s="77">
        <f t="shared" si="14"/>
        <v>4707</v>
      </c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</row>
    <row r="80" spans="1:155" s="42" customFormat="1" ht="47.25" customHeight="1">
      <c r="A80" s="73">
        <v>15</v>
      </c>
      <c r="B80" s="37"/>
      <c r="C80" s="81" t="s">
        <v>347</v>
      </c>
      <c r="D80" s="102" t="s">
        <v>51</v>
      </c>
      <c r="E80" s="72" t="s">
        <v>232</v>
      </c>
      <c r="F80" s="37" t="s">
        <v>233</v>
      </c>
      <c r="G80" s="36" t="s">
        <v>180</v>
      </c>
      <c r="H80" s="74" t="s">
        <v>42</v>
      </c>
      <c r="I80" s="36">
        <v>90609</v>
      </c>
      <c r="J80" s="75">
        <f t="shared" si="10"/>
        <v>1258.46</v>
      </c>
      <c r="K80" s="102">
        <v>3.6</v>
      </c>
      <c r="L80" s="77">
        <f t="shared" si="11"/>
        <v>4530</v>
      </c>
      <c r="M80" s="102"/>
      <c r="N80" s="102"/>
      <c r="O80" s="102"/>
      <c r="P80" s="102"/>
      <c r="Q80" s="77">
        <f t="shared" si="15"/>
        <v>0</v>
      </c>
      <c r="R80" s="102"/>
      <c r="S80" s="102"/>
      <c r="T80" s="77"/>
      <c r="U80" s="77">
        <f t="shared" si="13"/>
        <v>453</v>
      </c>
      <c r="V80" s="77">
        <f t="shared" si="14"/>
        <v>4983</v>
      </c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</row>
    <row r="81" spans="1:22" s="42" customFormat="1" ht="30.75" customHeight="1">
      <c r="A81" s="73">
        <v>16</v>
      </c>
      <c r="B81" s="37"/>
      <c r="C81" s="93" t="s">
        <v>330</v>
      </c>
      <c r="D81" s="102" t="s">
        <v>51</v>
      </c>
      <c r="E81" s="94"/>
      <c r="F81" s="94"/>
      <c r="G81" s="36" t="s">
        <v>50</v>
      </c>
      <c r="H81" s="82" t="s">
        <v>42</v>
      </c>
      <c r="I81" s="36">
        <v>85653</v>
      </c>
      <c r="J81" s="75">
        <f>I81/72</f>
        <v>1189.6300000000001</v>
      </c>
      <c r="K81" s="102">
        <f>1.8+10</f>
        <v>11.8</v>
      </c>
      <c r="L81" s="77">
        <f t="shared" si="11"/>
        <v>14038</v>
      </c>
      <c r="M81" s="102"/>
      <c r="N81" s="102"/>
      <c r="O81" s="102"/>
      <c r="P81" s="102"/>
      <c r="Q81" s="77">
        <f t="shared" si="15"/>
        <v>0</v>
      </c>
      <c r="R81" s="102"/>
      <c r="S81" s="102"/>
      <c r="T81" s="77"/>
      <c r="U81" s="77">
        <f t="shared" si="13"/>
        <v>1404</v>
      </c>
      <c r="V81" s="77">
        <f t="shared" si="14"/>
        <v>15442</v>
      </c>
    </row>
    <row r="82" spans="1:22" s="42" customFormat="1">
      <c r="A82" s="104"/>
      <c r="B82" s="104" t="s">
        <v>8</v>
      </c>
      <c r="C82" s="102"/>
      <c r="D82" s="102"/>
      <c r="E82" s="102"/>
      <c r="F82" s="102"/>
      <c r="G82" s="104"/>
      <c r="H82" s="102"/>
      <c r="I82" s="102"/>
      <c r="J82" s="75"/>
      <c r="K82" s="76">
        <f>SUM(K66:K81)</f>
        <v>161</v>
      </c>
      <c r="L82" s="76">
        <f t="shared" ref="L82:V82" si="16">SUM(L66:L81)</f>
        <v>202588</v>
      </c>
      <c r="M82" s="76">
        <f t="shared" si="16"/>
        <v>4424</v>
      </c>
      <c r="N82" s="76">
        <f t="shared" si="16"/>
        <v>0</v>
      </c>
      <c r="O82" s="76"/>
      <c r="P82" s="76">
        <f t="shared" si="16"/>
        <v>8.1999999999999993</v>
      </c>
      <c r="Q82" s="76">
        <f t="shared" si="16"/>
        <v>465</v>
      </c>
      <c r="R82" s="76">
        <f t="shared" si="16"/>
        <v>0</v>
      </c>
      <c r="S82" s="76">
        <f t="shared" si="16"/>
        <v>0</v>
      </c>
      <c r="T82" s="76">
        <f t="shared" si="16"/>
        <v>0</v>
      </c>
      <c r="U82" s="76">
        <f t="shared" si="16"/>
        <v>20260</v>
      </c>
      <c r="V82" s="76">
        <f t="shared" si="16"/>
        <v>227737</v>
      </c>
    </row>
    <row r="83" spans="1:22" s="42" customFormat="1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6" t="s">
        <v>213</v>
      </c>
      <c r="P83" s="96"/>
      <c r="Q83" s="96"/>
      <c r="R83" s="96"/>
      <c r="S83" s="97"/>
      <c r="T83" s="97"/>
      <c r="U83" s="98"/>
      <c r="V83" s="98"/>
    </row>
    <row r="84" spans="1:22" s="42" customFormat="1">
      <c r="A84" s="99" t="s">
        <v>0</v>
      </c>
      <c r="B84" s="99"/>
      <c r="C84" s="99"/>
      <c r="D84" s="99"/>
      <c r="E84" s="100"/>
      <c r="F84" s="100"/>
      <c r="G84" s="100"/>
      <c r="H84" s="100"/>
      <c r="I84" s="100"/>
      <c r="J84" s="100"/>
      <c r="K84" s="100"/>
      <c r="L84" s="100"/>
      <c r="M84" s="100"/>
      <c r="N84" s="69" t="s">
        <v>1</v>
      </c>
      <c r="O84" s="69"/>
      <c r="P84" s="69"/>
      <c r="Q84" s="69"/>
      <c r="R84" s="69"/>
      <c r="S84" s="69"/>
      <c r="T84" s="69"/>
      <c r="U84" s="70"/>
      <c r="V84" s="70"/>
    </row>
    <row r="85" spans="1:22" s="42" customFormat="1">
      <c r="A85" s="99" t="s">
        <v>2</v>
      </c>
      <c r="B85" s="99"/>
      <c r="C85" s="99"/>
      <c r="D85" s="99"/>
      <c r="E85" s="100"/>
      <c r="F85" s="100"/>
      <c r="G85" s="100"/>
      <c r="H85" s="100"/>
      <c r="I85" s="100"/>
      <c r="J85" s="100"/>
      <c r="K85" s="100"/>
      <c r="L85" s="100"/>
      <c r="M85" s="100"/>
      <c r="N85" s="69" t="s">
        <v>3</v>
      </c>
      <c r="O85" s="69"/>
      <c r="P85" s="69"/>
      <c r="Q85" s="69"/>
      <c r="R85" s="69"/>
      <c r="S85" s="69"/>
      <c r="T85" s="69"/>
      <c r="U85" s="70"/>
      <c r="V85" s="70"/>
    </row>
    <row r="86" spans="1:22" s="42" customFormat="1">
      <c r="A86" s="99"/>
      <c r="B86" s="99"/>
      <c r="C86" s="99"/>
      <c r="D86" s="99"/>
      <c r="E86" s="100"/>
      <c r="F86" s="100"/>
      <c r="G86" s="100"/>
      <c r="H86" s="100"/>
      <c r="I86" s="100"/>
      <c r="J86" s="100"/>
      <c r="K86" s="100"/>
      <c r="L86" s="100"/>
      <c r="M86" s="100"/>
      <c r="N86" s="68" t="s">
        <v>4</v>
      </c>
      <c r="O86" s="68"/>
      <c r="P86" s="68"/>
      <c r="Q86" s="68"/>
      <c r="R86" s="68"/>
      <c r="S86" s="68"/>
      <c r="T86" s="68"/>
      <c r="U86" s="70"/>
      <c r="V86" s="70"/>
    </row>
    <row r="87" spans="1:22" s="42" customFormat="1">
      <c r="A87" s="99" t="s">
        <v>5</v>
      </c>
      <c r="B87" s="99"/>
      <c r="C87" s="99" t="s">
        <v>6</v>
      </c>
      <c r="D87" s="99"/>
      <c r="E87" s="462" t="s">
        <v>183</v>
      </c>
      <c r="F87" s="462"/>
      <c r="G87" s="462"/>
      <c r="H87" s="462"/>
      <c r="I87" s="462"/>
      <c r="J87" s="462"/>
      <c r="K87" s="462"/>
      <c r="L87" s="462"/>
      <c r="M87" s="70"/>
      <c r="N87" s="69" t="s">
        <v>139</v>
      </c>
      <c r="O87" s="69"/>
      <c r="P87" s="69"/>
      <c r="Q87" s="69"/>
      <c r="R87" s="69"/>
      <c r="S87" s="69"/>
      <c r="T87" s="69"/>
      <c r="U87" s="70"/>
      <c r="V87" s="70"/>
    </row>
    <row r="88" spans="1:22" s="44" customFormat="1">
      <c r="A88" s="99"/>
      <c r="B88" s="99"/>
      <c r="C88" s="99"/>
      <c r="D88" s="99"/>
      <c r="E88" s="463" t="s">
        <v>184</v>
      </c>
      <c r="F88" s="463"/>
      <c r="G88" s="463"/>
      <c r="H88" s="463"/>
      <c r="I88" s="463"/>
      <c r="J88" s="463"/>
      <c r="K88" s="463"/>
      <c r="L88" s="463"/>
      <c r="M88" s="463"/>
      <c r="N88" s="100"/>
      <c r="O88" s="100"/>
      <c r="P88" s="100"/>
      <c r="Q88" s="100"/>
      <c r="R88" s="100"/>
      <c r="S88" s="100"/>
      <c r="T88" s="100"/>
      <c r="U88" s="100"/>
      <c r="V88" s="70"/>
    </row>
    <row r="89" spans="1:22" s="44" customFormat="1">
      <c r="A89" s="100"/>
      <c r="B89" s="100"/>
      <c r="C89" s="100"/>
      <c r="D89" s="100"/>
      <c r="E89" s="464" t="s">
        <v>219</v>
      </c>
      <c r="F89" s="464"/>
      <c r="G89" s="464"/>
      <c r="H89" s="464"/>
      <c r="I89" s="464"/>
      <c r="J89" s="464"/>
      <c r="K89" s="464"/>
      <c r="L89" s="464"/>
      <c r="M89" s="464"/>
      <c r="N89" s="100"/>
      <c r="O89" s="100"/>
      <c r="P89" s="100"/>
      <c r="Q89" s="100"/>
      <c r="R89" s="100"/>
      <c r="S89" s="100"/>
      <c r="T89" s="100"/>
      <c r="U89" s="100"/>
      <c r="V89" s="70"/>
    </row>
    <row r="90" spans="1:22" s="44" customFormat="1">
      <c r="A90" s="100"/>
      <c r="B90" s="100"/>
      <c r="C90" s="100"/>
      <c r="D90" s="100"/>
      <c r="E90" s="464" t="s">
        <v>7</v>
      </c>
      <c r="F90" s="464"/>
      <c r="G90" s="464"/>
      <c r="H90" s="464"/>
      <c r="I90" s="464"/>
      <c r="J90" s="464"/>
      <c r="K90" s="464"/>
      <c r="L90" s="464"/>
      <c r="M90" s="464"/>
      <c r="N90" s="100"/>
      <c r="O90" s="100"/>
      <c r="P90" s="100"/>
      <c r="Q90" s="100"/>
      <c r="R90" s="100"/>
      <c r="S90" s="100"/>
      <c r="T90" s="100"/>
      <c r="U90" s="100"/>
      <c r="V90" s="70"/>
    </row>
    <row r="91" spans="1:22" s="44" customFormat="1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 t="s">
        <v>185</v>
      </c>
      <c r="R91" s="100"/>
      <c r="S91" s="100"/>
      <c r="T91" s="100"/>
      <c r="U91" s="100"/>
      <c r="V91" s="70"/>
    </row>
    <row r="92" spans="1:22" s="44" customFormat="1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 t="s">
        <v>265</v>
      </c>
      <c r="R92" s="100"/>
      <c r="S92" s="100"/>
      <c r="T92" s="100"/>
      <c r="U92" s="100"/>
      <c r="V92" s="70"/>
    </row>
    <row r="93" spans="1:22" s="44" customForma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 t="s">
        <v>186</v>
      </c>
      <c r="R93" s="70"/>
      <c r="S93" s="70"/>
      <c r="T93" s="70" t="s">
        <v>317</v>
      </c>
      <c r="U93" s="70"/>
      <c r="V93" s="70"/>
    </row>
    <row r="94" spans="1:22" s="44" customForma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 t="s">
        <v>188</v>
      </c>
      <c r="R94" s="70"/>
      <c r="S94" s="70"/>
      <c r="T94" s="70">
        <v>3</v>
      </c>
      <c r="U94" s="70"/>
      <c r="V94" s="70"/>
    </row>
    <row r="95" spans="1:22" s="44" customForma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 t="s">
        <v>189</v>
      </c>
      <c r="R95" s="70"/>
      <c r="S95" s="70"/>
      <c r="T95" s="70">
        <v>18</v>
      </c>
      <c r="U95" s="70" t="s">
        <v>190</v>
      </c>
      <c r="V95" s="70"/>
    </row>
    <row r="96" spans="1:22" s="44" customForma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 t="s">
        <v>191</v>
      </c>
      <c r="R96" s="70"/>
      <c r="S96" s="70"/>
      <c r="T96" s="70">
        <v>0</v>
      </c>
      <c r="U96" s="70">
        <f>T96*100/T95</f>
        <v>0</v>
      </c>
      <c r="V96" s="70" t="s">
        <v>17</v>
      </c>
    </row>
    <row r="97" spans="1:22" s="44" customForma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 t="s">
        <v>192</v>
      </c>
      <c r="R97" s="70"/>
      <c r="S97" s="70"/>
      <c r="T97" s="70">
        <v>18</v>
      </c>
      <c r="U97" s="70">
        <f>T97*100/T95</f>
        <v>100</v>
      </c>
      <c r="V97" s="70" t="s">
        <v>17</v>
      </c>
    </row>
    <row r="98" spans="1:22" s="44" customForma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 t="s">
        <v>193</v>
      </c>
      <c r="R98" s="70"/>
      <c r="S98" s="70"/>
      <c r="T98" s="324">
        <f>K118</f>
        <v>157.6</v>
      </c>
      <c r="U98" s="70"/>
      <c r="V98" s="70"/>
    </row>
    <row r="99" spans="1:22" s="44" customForma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</row>
    <row r="100" spans="1:22" s="44" customFormat="1">
      <c r="A100" s="70"/>
      <c r="B100" s="70" t="s">
        <v>318</v>
      </c>
      <c r="C100" s="70" t="s">
        <v>319</v>
      </c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</row>
    <row r="101" spans="1:22" s="44" customFormat="1">
      <c r="A101" s="459" t="s">
        <v>195</v>
      </c>
      <c r="B101" s="459" t="s">
        <v>196</v>
      </c>
      <c r="C101" s="459" t="s">
        <v>197</v>
      </c>
      <c r="D101" s="459" t="s">
        <v>198</v>
      </c>
      <c r="E101" s="459" t="s">
        <v>10</v>
      </c>
      <c r="F101" s="459" t="s">
        <v>199</v>
      </c>
      <c r="G101" s="459" t="s">
        <v>200</v>
      </c>
      <c r="H101" s="459" t="s">
        <v>201</v>
      </c>
      <c r="I101" s="459" t="s">
        <v>202</v>
      </c>
      <c r="J101" s="459" t="s">
        <v>11</v>
      </c>
      <c r="K101" s="459" t="s">
        <v>203</v>
      </c>
      <c r="L101" s="459" t="s">
        <v>12</v>
      </c>
      <c r="M101" s="458" t="s">
        <v>204</v>
      </c>
      <c r="N101" s="458"/>
      <c r="O101" s="458"/>
      <c r="P101" s="458"/>
      <c r="Q101" s="458"/>
      <c r="R101" s="458"/>
      <c r="S101" s="458"/>
      <c r="T101" s="458"/>
      <c r="U101" s="459" t="s">
        <v>320</v>
      </c>
      <c r="V101" s="459" t="s">
        <v>206</v>
      </c>
    </row>
    <row r="102" spans="1:22" s="44" customFormat="1">
      <c r="A102" s="460"/>
      <c r="B102" s="460"/>
      <c r="C102" s="460"/>
      <c r="D102" s="460"/>
      <c r="E102" s="460"/>
      <c r="F102" s="460"/>
      <c r="G102" s="460"/>
      <c r="H102" s="460"/>
      <c r="I102" s="460"/>
      <c r="J102" s="460"/>
      <c r="K102" s="460"/>
      <c r="L102" s="460"/>
      <c r="M102" s="459" t="s">
        <v>207</v>
      </c>
      <c r="N102" s="459" t="s">
        <v>15</v>
      </c>
      <c r="O102" s="458" t="s">
        <v>16</v>
      </c>
      <c r="P102" s="458"/>
      <c r="Q102" s="458"/>
      <c r="R102" s="459"/>
      <c r="S102" s="459"/>
      <c r="T102" s="459"/>
      <c r="U102" s="460"/>
      <c r="V102" s="460"/>
    </row>
    <row r="103" spans="1:22" s="44" customFormat="1" ht="57" customHeight="1">
      <c r="A103" s="461"/>
      <c r="B103" s="461"/>
      <c r="C103" s="461"/>
      <c r="D103" s="461"/>
      <c r="E103" s="461"/>
      <c r="F103" s="461"/>
      <c r="G103" s="461"/>
      <c r="H103" s="461"/>
      <c r="I103" s="461"/>
      <c r="J103" s="461"/>
      <c r="K103" s="461"/>
      <c r="L103" s="461"/>
      <c r="M103" s="461"/>
      <c r="N103" s="461"/>
      <c r="O103" s="71" t="s">
        <v>17</v>
      </c>
      <c r="P103" s="71" t="s">
        <v>18</v>
      </c>
      <c r="Q103" s="71" t="s">
        <v>19</v>
      </c>
      <c r="R103" s="461"/>
      <c r="S103" s="461"/>
      <c r="T103" s="461"/>
      <c r="U103" s="461"/>
      <c r="V103" s="461"/>
    </row>
    <row r="104" spans="1:22" s="44" customFormat="1" ht="38.25">
      <c r="A104" s="73">
        <v>1</v>
      </c>
      <c r="B104" s="79"/>
      <c r="C104" s="86" t="s">
        <v>331</v>
      </c>
      <c r="D104" s="102" t="s">
        <v>51</v>
      </c>
      <c r="E104" s="79" t="s">
        <v>52</v>
      </c>
      <c r="F104" s="79" t="s">
        <v>53</v>
      </c>
      <c r="G104" s="111" t="s">
        <v>148</v>
      </c>
      <c r="H104" s="82" t="s">
        <v>25</v>
      </c>
      <c r="I104" s="74">
        <v>92201</v>
      </c>
      <c r="J104" s="75">
        <f t="shared" ref="J104:J116" si="17">I104/72</f>
        <v>1280.57</v>
      </c>
      <c r="K104" s="76">
        <v>3.8</v>
      </c>
      <c r="L104" s="77">
        <f t="shared" ref="L104:L117" si="18">J104*K104</f>
        <v>4866</v>
      </c>
      <c r="M104" s="102"/>
      <c r="N104" s="102"/>
      <c r="O104" s="102">
        <v>25</v>
      </c>
      <c r="P104" s="102">
        <v>3.8</v>
      </c>
      <c r="Q104" s="77">
        <f t="shared" ref="Q104" si="19">17697*25%/72*P104</f>
        <v>234</v>
      </c>
      <c r="R104" s="102"/>
      <c r="S104" s="102"/>
      <c r="T104" s="77"/>
      <c r="U104" s="77">
        <f>L104*10%</f>
        <v>487</v>
      </c>
      <c r="V104" s="77">
        <f>M104+N104+Q104+R104+T104+U104+S104+L104</f>
        <v>5587</v>
      </c>
    </row>
    <row r="105" spans="1:22" s="44" customFormat="1" ht="38.25">
      <c r="A105" s="73">
        <v>2</v>
      </c>
      <c r="B105" s="37"/>
      <c r="C105" s="37" t="s">
        <v>332</v>
      </c>
      <c r="D105" s="102" t="s">
        <v>51</v>
      </c>
      <c r="E105" s="37" t="s">
        <v>78</v>
      </c>
      <c r="F105" s="37" t="s">
        <v>79</v>
      </c>
      <c r="G105" s="80" t="s">
        <v>155</v>
      </c>
      <c r="H105" s="82" t="s">
        <v>25</v>
      </c>
      <c r="I105" s="82">
        <v>87246</v>
      </c>
      <c r="J105" s="75">
        <f t="shared" si="17"/>
        <v>1211.75</v>
      </c>
      <c r="K105" s="76">
        <v>3.2</v>
      </c>
      <c r="L105" s="77">
        <f t="shared" si="18"/>
        <v>3878</v>
      </c>
      <c r="M105" s="102"/>
      <c r="N105" s="102"/>
      <c r="O105" s="102">
        <v>20</v>
      </c>
      <c r="P105" s="102">
        <v>3.2</v>
      </c>
      <c r="Q105" s="77">
        <f>17697*20%/72*P105</f>
        <v>157</v>
      </c>
      <c r="R105" s="102"/>
      <c r="S105" s="102"/>
      <c r="T105" s="77"/>
      <c r="U105" s="77">
        <f>L105*10%</f>
        <v>388</v>
      </c>
      <c r="V105" s="77">
        <f>M105+N105+Q105+R105+T105+U105+S105+L105</f>
        <v>4423</v>
      </c>
    </row>
    <row r="106" spans="1:22" s="44" customFormat="1" ht="77.25" customHeight="1">
      <c r="A106" s="73">
        <v>3</v>
      </c>
      <c r="B106" s="37"/>
      <c r="C106" s="37" t="s">
        <v>333</v>
      </c>
      <c r="D106" s="102" t="s">
        <v>51</v>
      </c>
      <c r="E106" s="37" t="s">
        <v>220</v>
      </c>
      <c r="F106" s="37" t="s">
        <v>221</v>
      </c>
      <c r="G106" s="37" t="s">
        <v>146</v>
      </c>
      <c r="H106" s="86" t="s">
        <v>25</v>
      </c>
      <c r="I106" s="94">
        <v>80875</v>
      </c>
      <c r="J106" s="75">
        <f t="shared" si="17"/>
        <v>1123.26</v>
      </c>
      <c r="K106" s="76">
        <v>3.6</v>
      </c>
      <c r="L106" s="77">
        <f t="shared" si="18"/>
        <v>4044</v>
      </c>
      <c r="M106" s="102"/>
      <c r="N106" s="102"/>
      <c r="O106" s="102"/>
      <c r="P106" s="102"/>
      <c r="Q106" s="77">
        <f>17697*20%/72*P106</f>
        <v>0</v>
      </c>
      <c r="R106" s="102"/>
      <c r="S106" s="102"/>
      <c r="T106" s="77"/>
      <c r="U106" s="77">
        <f t="shared" ref="U106:U117" si="20">L106*10%</f>
        <v>404</v>
      </c>
      <c r="V106" s="77">
        <f t="shared" ref="V106:V117" si="21">M106+N106+Q106+R106+T106+U106+S106+L106</f>
        <v>4448</v>
      </c>
    </row>
    <row r="107" spans="1:22" s="44" customFormat="1" ht="37.5" customHeight="1">
      <c r="A107" s="73">
        <v>4</v>
      </c>
      <c r="B107" s="73"/>
      <c r="C107" s="85" t="s">
        <v>334</v>
      </c>
      <c r="D107" s="102" t="s">
        <v>51</v>
      </c>
      <c r="E107" s="73" t="s">
        <v>68</v>
      </c>
      <c r="F107" s="73" t="s">
        <v>69</v>
      </c>
      <c r="G107" s="73" t="s">
        <v>151</v>
      </c>
      <c r="H107" s="74" t="s">
        <v>25</v>
      </c>
      <c r="I107" s="74">
        <v>93971</v>
      </c>
      <c r="J107" s="75">
        <f t="shared" si="17"/>
        <v>1305.1500000000001</v>
      </c>
      <c r="K107" s="76">
        <v>3.6</v>
      </c>
      <c r="L107" s="77">
        <f t="shared" si="18"/>
        <v>4699</v>
      </c>
      <c r="M107" s="102"/>
      <c r="N107" s="102"/>
      <c r="O107" s="102"/>
      <c r="P107" s="102"/>
      <c r="Q107" s="77">
        <f>17697*20%/72*P107</f>
        <v>0</v>
      </c>
      <c r="R107" s="102"/>
      <c r="S107" s="102"/>
      <c r="T107" s="77"/>
      <c r="U107" s="77">
        <f t="shared" si="20"/>
        <v>470</v>
      </c>
      <c r="V107" s="77">
        <f t="shared" si="21"/>
        <v>5169</v>
      </c>
    </row>
    <row r="108" spans="1:22" s="44" customFormat="1" ht="52.5" customHeight="1">
      <c r="A108" s="73">
        <v>5</v>
      </c>
      <c r="B108" s="80"/>
      <c r="C108" s="81" t="s">
        <v>325</v>
      </c>
      <c r="D108" s="102" t="s">
        <v>51</v>
      </c>
      <c r="E108" s="80" t="s">
        <v>107</v>
      </c>
      <c r="F108" s="37" t="s">
        <v>108</v>
      </c>
      <c r="G108" s="90" t="s">
        <v>142</v>
      </c>
      <c r="H108" s="82" t="s">
        <v>25</v>
      </c>
      <c r="I108" s="82">
        <v>90609</v>
      </c>
      <c r="J108" s="109">
        <f t="shared" si="17"/>
        <v>1258.46</v>
      </c>
      <c r="K108" s="325">
        <v>3.6</v>
      </c>
      <c r="L108" s="110">
        <f t="shared" si="18"/>
        <v>4530</v>
      </c>
      <c r="M108" s="101"/>
      <c r="N108" s="101"/>
      <c r="O108" s="101"/>
      <c r="P108" s="101"/>
      <c r="Q108" s="110">
        <f>17697*20%/72*P108</f>
        <v>0</v>
      </c>
      <c r="R108" s="101"/>
      <c r="S108" s="101"/>
      <c r="T108" s="110"/>
      <c r="U108" s="110">
        <f t="shared" si="20"/>
        <v>453</v>
      </c>
      <c r="V108" s="77">
        <f t="shared" si="21"/>
        <v>4983</v>
      </c>
    </row>
    <row r="109" spans="1:22" s="44" customFormat="1" ht="67.5" customHeight="1">
      <c r="A109" s="73">
        <v>6</v>
      </c>
      <c r="B109" s="83"/>
      <c r="C109" s="81" t="s">
        <v>125</v>
      </c>
      <c r="D109" s="102" t="s">
        <v>51</v>
      </c>
      <c r="E109" s="80" t="s">
        <v>126</v>
      </c>
      <c r="F109" s="37" t="s">
        <v>127</v>
      </c>
      <c r="G109" s="80" t="s">
        <v>41</v>
      </c>
      <c r="H109" s="82" t="s">
        <v>42</v>
      </c>
      <c r="I109" s="74">
        <v>93971</v>
      </c>
      <c r="J109" s="75">
        <f t="shared" si="17"/>
        <v>1305.1500000000001</v>
      </c>
      <c r="K109" s="76">
        <v>3.6</v>
      </c>
      <c r="L109" s="77">
        <f t="shared" si="18"/>
        <v>4699</v>
      </c>
      <c r="M109" s="102"/>
      <c r="N109" s="102"/>
      <c r="O109" s="102"/>
      <c r="P109" s="102"/>
      <c r="Q109" s="77">
        <f t="shared" ref="Q109:Q117" si="22">17697*20%/72*P109</f>
        <v>0</v>
      </c>
      <c r="R109" s="102"/>
      <c r="S109" s="102"/>
      <c r="T109" s="77"/>
      <c r="U109" s="77">
        <f t="shared" si="20"/>
        <v>470</v>
      </c>
      <c r="V109" s="77">
        <f t="shared" si="21"/>
        <v>5169</v>
      </c>
    </row>
    <row r="110" spans="1:22" s="44" customFormat="1" ht="31.5" customHeight="1">
      <c r="A110" s="73">
        <v>7</v>
      </c>
      <c r="B110" s="73"/>
      <c r="C110" s="73" t="s">
        <v>335</v>
      </c>
      <c r="D110" s="102" t="s">
        <v>51</v>
      </c>
      <c r="E110" s="37" t="s">
        <v>58</v>
      </c>
      <c r="F110" s="37" t="s">
        <v>59</v>
      </c>
      <c r="G110" s="73" t="s">
        <v>150</v>
      </c>
      <c r="H110" s="74" t="s">
        <v>25</v>
      </c>
      <c r="I110" s="74">
        <v>93971</v>
      </c>
      <c r="J110" s="75">
        <f t="shared" si="17"/>
        <v>1305.1500000000001</v>
      </c>
      <c r="K110" s="76">
        <v>3.6</v>
      </c>
      <c r="L110" s="77">
        <f t="shared" si="18"/>
        <v>4699</v>
      </c>
      <c r="M110" s="102"/>
      <c r="N110" s="102"/>
      <c r="O110" s="102"/>
      <c r="P110" s="102"/>
      <c r="Q110" s="77">
        <f t="shared" si="22"/>
        <v>0</v>
      </c>
      <c r="R110" s="102"/>
      <c r="S110" s="102"/>
      <c r="T110" s="77"/>
      <c r="U110" s="77">
        <f t="shared" si="20"/>
        <v>470</v>
      </c>
      <c r="V110" s="77">
        <f t="shared" si="21"/>
        <v>5169</v>
      </c>
    </row>
    <row r="111" spans="1:22" s="44" customFormat="1" ht="74.25" customHeight="1">
      <c r="A111" s="73">
        <v>8</v>
      </c>
      <c r="B111" s="80"/>
      <c r="C111" s="80" t="s">
        <v>336</v>
      </c>
      <c r="D111" s="102" t="s">
        <v>51</v>
      </c>
      <c r="E111" s="37" t="s">
        <v>26</v>
      </c>
      <c r="F111" s="80" t="s">
        <v>119</v>
      </c>
      <c r="G111" s="80" t="s">
        <v>123</v>
      </c>
      <c r="H111" s="82" t="s">
        <v>25</v>
      </c>
      <c r="I111" s="82">
        <v>89016</v>
      </c>
      <c r="J111" s="75">
        <f t="shared" si="17"/>
        <v>1236.33</v>
      </c>
      <c r="K111" s="76">
        <f>4+7+11.2+10.8+2.8</f>
        <v>35.799999999999997</v>
      </c>
      <c r="L111" s="77">
        <f t="shared" si="18"/>
        <v>44261</v>
      </c>
      <c r="M111" s="102"/>
      <c r="N111" s="102"/>
      <c r="O111" s="102"/>
      <c r="P111" s="102"/>
      <c r="Q111" s="77">
        <f t="shared" si="22"/>
        <v>0</v>
      </c>
      <c r="R111" s="102"/>
      <c r="S111" s="102"/>
      <c r="T111" s="77"/>
      <c r="U111" s="77">
        <f t="shared" si="20"/>
        <v>4426</v>
      </c>
      <c r="V111" s="77">
        <f t="shared" si="21"/>
        <v>48687</v>
      </c>
    </row>
    <row r="112" spans="1:22" s="44" customFormat="1" ht="47.25" customHeight="1">
      <c r="A112" s="73">
        <v>9</v>
      </c>
      <c r="B112" s="80"/>
      <c r="C112" s="81" t="s">
        <v>337</v>
      </c>
      <c r="D112" s="102" t="s">
        <v>51</v>
      </c>
      <c r="E112" s="80" t="s">
        <v>97</v>
      </c>
      <c r="F112" s="80" t="s">
        <v>98</v>
      </c>
      <c r="G112" s="80" t="s">
        <v>165</v>
      </c>
      <c r="H112" s="74" t="s">
        <v>25</v>
      </c>
      <c r="I112" s="82">
        <v>92201</v>
      </c>
      <c r="J112" s="75">
        <f t="shared" si="17"/>
        <v>1280.57</v>
      </c>
      <c r="K112" s="76">
        <f>10.2+11.9+10.8+9+3.6</f>
        <v>45.5</v>
      </c>
      <c r="L112" s="77">
        <f t="shared" si="18"/>
        <v>58266</v>
      </c>
      <c r="M112" s="102"/>
      <c r="N112" s="102"/>
      <c r="O112" s="102"/>
      <c r="P112" s="102"/>
      <c r="Q112" s="77">
        <f t="shared" si="22"/>
        <v>0</v>
      </c>
      <c r="R112" s="102"/>
      <c r="S112" s="102"/>
      <c r="T112" s="77"/>
      <c r="U112" s="77">
        <f t="shared" si="20"/>
        <v>5827</v>
      </c>
      <c r="V112" s="77">
        <f t="shared" si="21"/>
        <v>64093</v>
      </c>
    </row>
    <row r="113" spans="1:22" s="44" customFormat="1" ht="40.5" customHeight="1">
      <c r="A113" s="73">
        <v>10</v>
      </c>
      <c r="B113" s="37"/>
      <c r="C113" s="80" t="s">
        <v>338</v>
      </c>
      <c r="D113" s="102" t="s">
        <v>51</v>
      </c>
      <c r="E113" s="37" t="s">
        <v>121</v>
      </c>
      <c r="F113" s="37" t="s">
        <v>122</v>
      </c>
      <c r="G113" s="82" t="s">
        <v>172</v>
      </c>
      <c r="H113" s="82" t="s">
        <v>25</v>
      </c>
      <c r="I113" s="82">
        <v>90609</v>
      </c>
      <c r="J113" s="75">
        <f t="shared" si="17"/>
        <v>1258.46</v>
      </c>
      <c r="K113" s="76">
        <v>4.5</v>
      </c>
      <c r="L113" s="77">
        <f t="shared" si="18"/>
        <v>5663</v>
      </c>
      <c r="M113" s="102"/>
      <c r="N113" s="102"/>
      <c r="O113" s="102"/>
      <c r="P113" s="102"/>
      <c r="Q113" s="77">
        <f t="shared" si="22"/>
        <v>0</v>
      </c>
      <c r="R113" s="102"/>
      <c r="S113" s="102"/>
      <c r="T113" s="77"/>
      <c r="U113" s="77">
        <f t="shared" si="20"/>
        <v>566</v>
      </c>
      <c r="V113" s="77">
        <f t="shared" si="21"/>
        <v>6229</v>
      </c>
    </row>
    <row r="114" spans="1:22" s="44" customFormat="1" ht="24.75" customHeight="1">
      <c r="A114" s="73">
        <v>11</v>
      </c>
      <c r="B114" s="37"/>
      <c r="C114" s="326" t="s">
        <v>493</v>
      </c>
      <c r="D114" s="102"/>
      <c r="E114" s="108"/>
      <c r="F114" s="327"/>
      <c r="G114" s="82"/>
      <c r="H114" s="82"/>
      <c r="I114" s="82"/>
      <c r="J114" s="75"/>
      <c r="K114" s="76"/>
      <c r="L114" s="77"/>
      <c r="M114" s="102">
        <v>4424</v>
      </c>
      <c r="N114" s="102"/>
      <c r="O114" s="102"/>
      <c r="P114" s="102"/>
      <c r="Q114" s="77"/>
      <c r="R114" s="102"/>
      <c r="S114" s="102"/>
      <c r="T114" s="77"/>
      <c r="U114" s="77"/>
      <c r="V114" s="77">
        <f t="shared" si="21"/>
        <v>4424</v>
      </c>
    </row>
    <row r="115" spans="1:22" s="44" customFormat="1" ht="30.75" customHeight="1">
      <c r="A115" s="73">
        <v>12</v>
      </c>
      <c r="B115" s="37"/>
      <c r="C115" s="37" t="s">
        <v>100</v>
      </c>
      <c r="D115" s="102" t="s">
        <v>51</v>
      </c>
      <c r="E115" s="108"/>
      <c r="F115" s="92"/>
      <c r="G115" s="36" t="s">
        <v>50</v>
      </c>
      <c r="H115" s="82" t="s">
        <v>42</v>
      </c>
      <c r="I115" s="36">
        <v>85653</v>
      </c>
      <c r="J115" s="75">
        <f t="shared" si="17"/>
        <v>1189.6300000000001</v>
      </c>
      <c r="K115" s="76">
        <v>3.6</v>
      </c>
      <c r="L115" s="77">
        <f t="shared" si="18"/>
        <v>4283</v>
      </c>
      <c r="M115" s="102"/>
      <c r="N115" s="102"/>
      <c r="O115" s="102"/>
      <c r="P115" s="102"/>
      <c r="Q115" s="77">
        <f t="shared" si="22"/>
        <v>0</v>
      </c>
      <c r="R115" s="102"/>
      <c r="S115" s="102"/>
      <c r="T115" s="77"/>
      <c r="U115" s="77">
        <f t="shared" si="20"/>
        <v>428</v>
      </c>
      <c r="V115" s="77">
        <f t="shared" si="21"/>
        <v>4711</v>
      </c>
    </row>
    <row r="116" spans="1:22" s="44" customFormat="1" ht="45" customHeight="1">
      <c r="A116" s="73">
        <v>13</v>
      </c>
      <c r="B116" s="37"/>
      <c r="C116" s="37" t="s">
        <v>354</v>
      </c>
      <c r="D116" s="102" t="s">
        <v>51</v>
      </c>
      <c r="E116" s="108"/>
      <c r="F116" s="92"/>
      <c r="G116" s="36" t="s">
        <v>50</v>
      </c>
      <c r="H116" s="82" t="s">
        <v>42</v>
      </c>
      <c r="I116" s="36">
        <v>85653</v>
      </c>
      <c r="J116" s="75">
        <f t="shared" si="17"/>
        <v>1189.6300000000001</v>
      </c>
      <c r="K116" s="76">
        <v>3.6</v>
      </c>
      <c r="L116" s="77">
        <f t="shared" si="18"/>
        <v>4283</v>
      </c>
      <c r="M116" s="102"/>
      <c r="N116" s="102"/>
      <c r="O116" s="102"/>
      <c r="P116" s="102"/>
      <c r="Q116" s="77">
        <f t="shared" si="22"/>
        <v>0</v>
      </c>
      <c r="R116" s="102"/>
      <c r="S116" s="102"/>
      <c r="T116" s="77"/>
      <c r="U116" s="77">
        <f t="shared" si="20"/>
        <v>428</v>
      </c>
      <c r="V116" s="77">
        <f t="shared" si="21"/>
        <v>4711</v>
      </c>
    </row>
    <row r="117" spans="1:22" s="44" customFormat="1" ht="43.5" customHeight="1">
      <c r="A117" s="73">
        <v>14</v>
      </c>
      <c r="B117" s="37"/>
      <c r="C117" s="93" t="s">
        <v>339</v>
      </c>
      <c r="D117" s="102" t="s">
        <v>51</v>
      </c>
      <c r="E117" s="94"/>
      <c r="F117" s="94"/>
      <c r="G117" s="36" t="s">
        <v>50</v>
      </c>
      <c r="H117" s="82" t="s">
        <v>42</v>
      </c>
      <c r="I117" s="36">
        <v>85653</v>
      </c>
      <c r="J117" s="75">
        <f>I117/72</f>
        <v>1189.6300000000001</v>
      </c>
      <c r="K117" s="102">
        <f>3.6+10+7.2+18.8</f>
        <v>39.6</v>
      </c>
      <c r="L117" s="77">
        <f t="shared" si="18"/>
        <v>47109</v>
      </c>
      <c r="M117" s="102"/>
      <c r="N117" s="102"/>
      <c r="O117" s="102"/>
      <c r="P117" s="102"/>
      <c r="Q117" s="77">
        <f t="shared" si="22"/>
        <v>0</v>
      </c>
      <c r="R117" s="102"/>
      <c r="S117" s="102"/>
      <c r="T117" s="77"/>
      <c r="U117" s="77">
        <f t="shared" si="20"/>
        <v>4711</v>
      </c>
      <c r="V117" s="77">
        <f t="shared" si="21"/>
        <v>51820</v>
      </c>
    </row>
    <row r="118" spans="1:22" s="44" customFormat="1" ht="12" customHeight="1">
      <c r="A118" s="104"/>
      <c r="B118" s="104" t="s">
        <v>8</v>
      </c>
      <c r="C118" s="102"/>
      <c r="D118" s="102"/>
      <c r="E118" s="102"/>
      <c r="F118" s="102"/>
      <c r="G118" s="104"/>
      <c r="H118" s="102"/>
      <c r="I118" s="102"/>
      <c r="J118" s="75"/>
      <c r="K118" s="76">
        <f t="shared" ref="K118:V118" si="23">SUM(K104:K117)</f>
        <v>157.6</v>
      </c>
      <c r="L118" s="76">
        <f t="shared" si="23"/>
        <v>195280</v>
      </c>
      <c r="M118" s="76">
        <f t="shared" si="23"/>
        <v>4424</v>
      </c>
      <c r="N118" s="76">
        <f t="shared" si="23"/>
        <v>0</v>
      </c>
      <c r="O118" s="76"/>
      <c r="P118" s="76">
        <f t="shared" si="23"/>
        <v>7</v>
      </c>
      <c r="Q118" s="76">
        <f t="shared" si="23"/>
        <v>391</v>
      </c>
      <c r="R118" s="76">
        <f t="shared" si="23"/>
        <v>0</v>
      </c>
      <c r="S118" s="76">
        <f t="shared" si="23"/>
        <v>0</v>
      </c>
      <c r="T118" s="76">
        <f t="shared" si="23"/>
        <v>0</v>
      </c>
      <c r="U118" s="76">
        <f t="shared" si="23"/>
        <v>19528</v>
      </c>
      <c r="V118" s="76">
        <f t="shared" si="23"/>
        <v>219623</v>
      </c>
    </row>
    <row r="119" spans="1:22" s="44" customFormat="1" ht="12" customHeight="1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6" t="s">
        <v>213</v>
      </c>
      <c r="P119" s="96"/>
      <c r="Q119" s="96"/>
      <c r="R119" s="96"/>
      <c r="S119" s="97"/>
      <c r="T119" s="97"/>
      <c r="U119" s="98"/>
      <c r="V119" s="98"/>
    </row>
    <row r="120" spans="1:22" s="44" customFormat="1">
      <c r="A120" s="95"/>
      <c r="B120" s="112"/>
      <c r="C120" s="113"/>
      <c r="D120" s="114"/>
      <c r="E120" s="114"/>
      <c r="F120" s="115"/>
      <c r="G120" s="116"/>
      <c r="H120" s="117"/>
      <c r="I120" s="117"/>
      <c r="J120" s="118"/>
      <c r="K120" s="328"/>
      <c r="L120" s="119"/>
      <c r="M120" s="95"/>
      <c r="N120" s="95"/>
      <c r="O120" s="95"/>
      <c r="P120" s="95"/>
      <c r="Q120" s="119"/>
      <c r="R120" s="95"/>
      <c r="S120" s="95"/>
      <c r="T120" s="119"/>
      <c r="U120" s="119"/>
      <c r="V120" s="119"/>
    </row>
    <row r="121" spans="1:22" s="44" customFormat="1">
      <c r="A121" s="95"/>
      <c r="B121" s="115"/>
      <c r="C121" s="329"/>
      <c r="D121" s="329"/>
      <c r="E121" s="329"/>
      <c r="F121" s="329"/>
      <c r="G121" s="329"/>
      <c r="H121" s="117"/>
      <c r="I121" s="329"/>
      <c r="J121" s="118"/>
      <c r="K121" s="328"/>
      <c r="L121" s="119"/>
      <c r="M121" s="95"/>
      <c r="N121" s="95"/>
      <c r="O121" s="95"/>
      <c r="P121" s="95"/>
      <c r="Q121" s="119"/>
      <c r="R121" s="95"/>
      <c r="S121" s="95"/>
      <c r="T121" s="119"/>
      <c r="U121" s="119"/>
      <c r="V121" s="119"/>
    </row>
    <row r="122" spans="1:22" s="44" customFormat="1">
      <c r="A122" s="123"/>
      <c r="B122" s="123"/>
      <c r="C122" s="123"/>
      <c r="D122" s="123"/>
      <c r="E122" s="123"/>
      <c r="F122" s="123"/>
      <c r="G122" s="123"/>
      <c r="H122" s="123"/>
      <c r="I122" s="123"/>
      <c r="J122" s="118"/>
      <c r="K122" s="328"/>
      <c r="L122" s="119"/>
      <c r="M122" s="95"/>
      <c r="N122" s="95"/>
      <c r="O122" s="95"/>
      <c r="P122" s="95"/>
      <c r="Q122" s="119"/>
      <c r="R122" s="95"/>
      <c r="S122" s="95"/>
      <c r="T122" s="119"/>
      <c r="U122" s="119"/>
      <c r="V122" s="119"/>
    </row>
    <row r="123" spans="1:22" s="44" customFormat="1">
      <c r="A123" s="329"/>
      <c r="B123" s="114"/>
      <c r="C123" s="113"/>
      <c r="D123" s="112"/>
      <c r="E123" s="112"/>
      <c r="F123" s="115"/>
      <c r="G123" s="112"/>
      <c r="H123" s="117"/>
      <c r="I123" s="330"/>
      <c r="J123" s="118"/>
      <c r="K123" s="95"/>
      <c r="L123" s="119"/>
      <c r="M123" s="95"/>
      <c r="N123" s="95"/>
      <c r="O123" s="95"/>
      <c r="P123" s="95"/>
      <c r="Q123" s="119"/>
      <c r="R123" s="95"/>
      <c r="S123" s="95"/>
      <c r="T123" s="119"/>
      <c r="U123" s="119"/>
      <c r="V123" s="119"/>
    </row>
    <row r="124" spans="1:22" s="44" customFormat="1">
      <c r="A124" s="95"/>
      <c r="B124" s="115"/>
      <c r="C124" s="329"/>
      <c r="D124" s="329"/>
      <c r="E124" s="329"/>
      <c r="F124" s="329"/>
      <c r="G124" s="329"/>
      <c r="H124" s="117"/>
      <c r="I124" s="329"/>
      <c r="J124" s="118"/>
      <c r="K124" s="95"/>
      <c r="L124" s="119"/>
      <c r="M124" s="95"/>
      <c r="N124" s="95"/>
      <c r="O124" s="95"/>
      <c r="P124" s="95"/>
      <c r="Q124" s="119"/>
      <c r="R124" s="95"/>
      <c r="S124" s="95"/>
      <c r="T124" s="119"/>
      <c r="U124" s="119"/>
      <c r="V124" s="119"/>
    </row>
    <row r="125" spans="1:22" s="44" customFormat="1">
      <c r="A125" s="95"/>
      <c r="B125" s="115"/>
      <c r="C125" s="331"/>
      <c r="D125" s="115"/>
      <c r="E125" s="115"/>
      <c r="F125" s="115"/>
      <c r="G125" s="329"/>
      <c r="H125" s="117"/>
      <c r="I125" s="329"/>
      <c r="J125" s="118"/>
      <c r="K125" s="95"/>
      <c r="L125" s="119"/>
      <c r="M125" s="95"/>
      <c r="N125" s="95"/>
      <c r="O125" s="95"/>
      <c r="P125" s="95"/>
      <c r="Q125" s="119"/>
      <c r="R125" s="95"/>
      <c r="S125" s="95"/>
      <c r="T125" s="119"/>
      <c r="U125" s="119"/>
      <c r="V125" s="119"/>
    </row>
    <row r="126" spans="1:22" s="44" customFormat="1">
      <c r="A126" s="95"/>
      <c r="B126" s="115"/>
      <c r="C126" s="332"/>
      <c r="D126" s="115"/>
      <c r="E126" s="115"/>
      <c r="F126" s="115"/>
      <c r="G126" s="117"/>
      <c r="H126" s="117"/>
      <c r="I126" s="117"/>
      <c r="J126" s="118"/>
      <c r="K126" s="95"/>
      <c r="L126" s="119"/>
      <c r="M126" s="95"/>
      <c r="N126" s="95"/>
      <c r="O126" s="95"/>
      <c r="P126" s="95"/>
      <c r="Q126" s="119"/>
      <c r="R126" s="95"/>
      <c r="S126" s="95"/>
      <c r="T126" s="119"/>
      <c r="U126" s="119"/>
      <c r="V126" s="119"/>
    </row>
    <row r="127" spans="1:22" s="44" customFormat="1">
      <c r="A127" s="95"/>
      <c r="B127" s="115"/>
      <c r="C127" s="332"/>
      <c r="D127" s="115"/>
      <c r="E127" s="115"/>
      <c r="F127" s="115"/>
      <c r="G127" s="117"/>
      <c r="H127" s="117"/>
      <c r="I127" s="117"/>
      <c r="J127" s="118"/>
      <c r="K127" s="95"/>
      <c r="L127" s="119"/>
      <c r="M127" s="95"/>
      <c r="N127" s="95"/>
      <c r="O127" s="95"/>
      <c r="P127" s="95"/>
      <c r="Q127" s="119"/>
      <c r="R127" s="95"/>
      <c r="S127" s="95"/>
      <c r="T127" s="119"/>
      <c r="U127" s="119"/>
      <c r="V127" s="119"/>
    </row>
    <row r="128" spans="1:22" s="44" customFormat="1">
      <c r="A128" s="95"/>
      <c r="B128" s="115"/>
      <c r="C128" s="332"/>
      <c r="D128" s="115"/>
      <c r="E128" s="115"/>
      <c r="F128" s="115"/>
      <c r="G128" s="117"/>
      <c r="H128" s="117"/>
      <c r="I128" s="117"/>
      <c r="J128" s="118"/>
      <c r="K128" s="95"/>
      <c r="L128" s="119"/>
      <c r="M128" s="95"/>
      <c r="N128" s="95"/>
      <c r="O128" s="95"/>
      <c r="P128" s="95"/>
      <c r="Q128" s="119"/>
      <c r="R128" s="95"/>
      <c r="S128" s="95"/>
      <c r="T128" s="119"/>
      <c r="U128" s="119"/>
      <c r="V128" s="119"/>
    </row>
    <row r="129" spans="1:22" s="44" customFormat="1">
      <c r="A129" s="95"/>
      <c r="B129" s="115"/>
      <c r="C129" s="332"/>
      <c r="D129" s="115"/>
      <c r="E129" s="115"/>
      <c r="F129" s="115"/>
      <c r="G129" s="117"/>
      <c r="H129" s="117"/>
      <c r="I129" s="117"/>
      <c r="J129" s="118"/>
      <c r="K129" s="95"/>
      <c r="L129" s="119"/>
      <c r="M129" s="95"/>
      <c r="N129" s="95"/>
      <c r="O129" s="95"/>
      <c r="P129" s="95"/>
      <c r="Q129" s="119"/>
      <c r="R129" s="95"/>
      <c r="S129" s="95"/>
      <c r="T129" s="119"/>
      <c r="U129" s="119"/>
      <c r="V129" s="119"/>
    </row>
    <row r="130" spans="1:22" s="44" customFormat="1">
      <c r="A130" s="95"/>
      <c r="B130" s="115"/>
      <c r="C130" s="332"/>
      <c r="D130" s="115"/>
      <c r="E130" s="115"/>
      <c r="F130" s="115"/>
      <c r="G130" s="117"/>
      <c r="H130" s="117"/>
      <c r="I130" s="117"/>
      <c r="J130" s="118"/>
      <c r="K130" s="95"/>
      <c r="L130" s="119"/>
      <c r="M130" s="95"/>
      <c r="N130" s="95"/>
      <c r="O130" s="95"/>
      <c r="P130" s="95"/>
      <c r="Q130" s="119"/>
      <c r="R130" s="95"/>
      <c r="S130" s="95"/>
      <c r="T130" s="119"/>
      <c r="U130" s="119"/>
      <c r="V130" s="119"/>
    </row>
    <row r="131" spans="1:22" s="44" customFormat="1">
      <c r="A131" s="95"/>
      <c r="B131" s="115"/>
      <c r="C131" s="332"/>
      <c r="D131" s="115"/>
      <c r="E131" s="115"/>
      <c r="F131" s="115"/>
      <c r="G131" s="117"/>
      <c r="H131" s="117"/>
      <c r="I131" s="117"/>
      <c r="J131" s="118"/>
      <c r="K131" s="95"/>
      <c r="L131" s="119"/>
      <c r="M131" s="95"/>
      <c r="N131" s="95"/>
      <c r="O131" s="95"/>
      <c r="P131" s="95"/>
      <c r="Q131" s="119"/>
      <c r="R131" s="95"/>
      <c r="S131" s="95"/>
      <c r="T131" s="119"/>
      <c r="U131" s="119"/>
      <c r="V131" s="119"/>
    </row>
    <row r="132" spans="1:22" s="44" customFormat="1">
      <c r="A132" s="95"/>
      <c r="B132" s="95"/>
      <c r="C132" s="95"/>
      <c r="D132" s="95"/>
      <c r="E132" s="95"/>
      <c r="F132" s="95"/>
      <c r="G132" s="95"/>
      <c r="H132" s="95"/>
      <c r="I132" s="95"/>
      <c r="J132" s="118"/>
      <c r="K132" s="118"/>
      <c r="L132" s="119"/>
      <c r="M132" s="95"/>
      <c r="N132" s="95"/>
      <c r="O132" s="95"/>
      <c r="P132" s="95"/>
      <c r="Q132" s="119"/>
      <c r="R132" s="95"/>
      <c r="S132" s="95"/>
      <c r="T132" s="95"/>
      <c r="U132" s="119"/>
      <c r="V132" s="119"/>
    </row>
    <row r="133" spans="1:22" s="44" customFormat="1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120"/>
      <c r="P133" s="120"/>
      <c r="Q133" s="120"/>
      <c r="R133" s="120"/>
      <c r="S133" s="120"/>
      <c r="T133" s="120"/>
      <c r="U133" s="95"/>
      <c r="V133" s="95"/>
    </row>
    <row r="134" spans="1:22" s="44" customFormat="1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</row>
    <row r="135" spans="1:22" s="44" customFormat="1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</row>
    <row r="136" spans="1:22" s="44" customFormat="1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</row>
    <row r="137" spans="1:22" s="44" customFormat="1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</row>
    <row r="138" spans="1:22" s="44" customFormat="1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</row>
    <row r="139" spans="1:22" s="44" customFormat="1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</row>
    <row r="140" spans="1:22" s="44" customFormat="1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</row>
    <row r="141" spans="1:22" s="44" customFormat="1">
      <c r="A141" s="123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</row>
    <row r="142" spans="1:22" s="44" customFormat="1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</row>
    <row r="143" spans="1:22" s="44" customFormat="1">
      <c r="A143" s="123"/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</row>
    <row r="144" spans="1:22" s="44" customFormat="1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</row>
    <row r="145" spans="1:22" s="44" customFormat="1">
      <c r="A145" s="123"/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</row>
    <row r="146" spans="1:22" s="44" customFormat="1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</row>
    <row r="147" spans="1:22" s="44" customFormat="1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</row>
    <row r="148" spans="1:22" s="44" customFormat="1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</row>
    <row r="149" spans="1:22" s="44" customFormat="1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</row>
    <row r="150" spans="1:22" s="44" customFormat="1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</row>
    <row r="151" spans="1:22" s="44" customFormat="1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</row>
    <row r="152" spans="1:22" s="44" customFormat="1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</row>
    <row r="153" spans="1:22" s="44" customFormat="1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</row>
    <row r="154" spans="1:22" s="44" customFormat="1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</row>
    <row r="155" spans="1:22" s="44" customFormat="1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</row>
    <row r="156" spans="1:22" s="44" customFormat="1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</row>
    <row r="157" spans="1:22" s="44" customFormat="1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</row>
    <row r="158" spans="1:22" s="44" customFormat="1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</row>
    <row r="159" spans="1:22" s="44" customFormat="1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</row>
    <row r="160" spans="1:22" s="44" customFormat="1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</row>
    <row r="161" spans="1:22" s="44" customFormat="1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</row>
    <row r="162" spans="1:22" s="44" customFormat="1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</row>
    <row r="163" spans="1:22" s="44" customFormat="1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</row>
    <row r="164" spans="1:22" s="44" customFormat="1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</row>
    <row r="165" spans="1:22" s="44" customFormat="1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</row>
    <row r="166" spans="1:22" s="44" customFormat="1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</row>
    <row r="167" spans="1:22" s="44" customFormat="1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</row>
    <row r="168" spans="1:22" s="44" customFormat="1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</row>
    <row r="169" spans="1:22" s="44" customFormat="1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</row>
    <row r="170" spans="1:22" s="44" customFormat="1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</row>
    <row r="171" spans="1:22" s="44" customFormat="1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</row>
    <row r="172" spans="1:22" s="44" customFormat="1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</row>
    <row r="173" spans="1:22" s="44" customFormat="1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</row>
    <row r="174" spans="1:22" s="44" customFormat="1">
      <c r="A174" s="123"/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</row>
    <row r="175" spans="1:22" s="44" customFormat="1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</row>
    <row r="176" spans="1:22" s="44" customFormat="1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</row>
    <row r="177" spans="1:22" s="44" customFormat="1">
      <c r="A177" s="123"/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</row>
    <row r="178" spans="1:22" s="44" customFormat="1">
      <c r="A178" s="123"/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</row>
    <row r="179" spans="1:22" s="44" customFormat="1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</row>
    <row r="180" spans="1:22" s="44" customFormat="1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</row>
    <row r="181" spans="1:22" s="44" customFormat="1">
      <c r="A181" s="123"/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</row>
    <row r="182" spans="1:22" s="44" customFormat="1">
      <c r="A182" s="123"/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</row>
    <row r="183" spans="1:22" s="44" customFormat="1">
      <c r="A183" s="123"/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</row>
    <row r="184" spans="1:22" s="44" customFormat="1">
      <c r="A184" s="123"/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</row>
    <row r="185" spans="1:22" s="44" customFormat="1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</row>
    <row r="186" spans="1:22" s="44" customFormat="1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</row>
    <row r="187" spans="1:22" s="44" customFormat="1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</row>
    <row r="188" spans="1:22" s="44" customFormat="1">
      <c r="A188" s="12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</row>
    <row r="189" spans="1:22" s="44" customFormat="1">
      <c r="A189" s="12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</row>
    <row r="190" spans="1:22" s="44" customFormat="1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</row>
    <row r="191" spans="1:22" s="44" customFormat="1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</row>
    <row r="192" spans="1:22" s="44" customFormat="1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</row>
    <row r="193" spans="1:22" s="44" customFormat="1">
      <c r="A193" s="123"/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</row>
    <row r="194" spans="1:22" s="44" customFormat="1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</row>
    <row r="195" spans="1:22" s="44" customFormat="1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</row>
    <row r="196" spans="1:22" s="44" customFormat="1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</row>
    <row r="197" spans="1:22" s="44" customFormat="1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</row>
    <row r="198" spans="1:22" s="44" customFormat="1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</row>
    <row r="199" spans="1:22" s="44" customFormat="1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</row>
    <row r="200" spans="1:22" s="44" customFormat="1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</row>
    <row r="201" spans="1:22" s="44" customFormat="1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</row>
    <row r="202" spans="1:22" s="44" customFormat="1">
      <c r="A202" s="12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</row>
    <row r="203" spans="1:22" s="44" customFormat="1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</row>
    <row r="204" spans="1:22" s="44" customFormat="1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</row>
    <row r="205" spans="1:22" s="44" customFormat="1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</row>
    <row r="206" spans="1:22" s="44" customFormat="1">
      <c r="A206" s="12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</row>
    <row r="207" spans="1:22" s="44" customFormat="1">
      <c r="A207" s="12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</row>
    <row r="208" spans="1:22" s="44" customFormat="1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</row>
    <row r="209" spans="1:22" s="44" customFormat="1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</row>
    <row r="210" spans="1:22" s="44" customFormat="1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</row>
    <row r="211" spans="1:22" s="44" customFormat="1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</row>
    <row r="212" spans="1:22" s="44" customFormat="1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</row>
    <row r="213" spans="1:22" s="44" customFormat="1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</row>
    <row r="214" spans="1:22" s="44" customFormat="1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</row>
    <row r="215" spans="1:22" s="44" customFormat="1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</row>
    <row r="216" spans="1:22" s="44" customFormat="1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</row>
    <row r="217" spans="1:22" s="44" customFormat="1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</row>
    <row r="218" spans="1:22" s="44" customFormat="1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</row>
    <row r="219" spans="1:22" s="44" customFormat="1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</row>
    <row r="220" spans="1:22" s="44" customFormat="1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</row>
    <row r="221" spans="1:22" s="44" customFormat="1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</row>
    <row r="222" spans="1:22" s="44" customFormat="1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</row>
    <row r="223" spans="1:22" s="44" customFormat="1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</row>
    <row r="224" spans="1:22" s="44" customFormat="1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</row>
    <row r="225" spans="1:22" s="44" customFormat="1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</row>
    <row r="226" spans="1:22" s="44" customFormat="1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</row>
    <row r="227" spans="1:22" s="44" customFormat="1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</row>
    <row r="228" spans="1:22" s="44" customFormat="1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</row>
    <row r="229" spans="1:22" s="44" customFormat="1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</row>
    <row r="230" spans="1:22" s="44" customFormat="1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</row>
    <row r="231" spans="1:22" s="44" customFormat="1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</row>
    <row r="232" spans="1:22" s="44" customFormat="1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</row>
    <row r="233" spans="1:22" s="44" customFormat="1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</row>
    <row r="234" spans="1:22" s="13" customFormat="1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</row>
    <row r="235" spans="1:22" s="13" customFormat="1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</row>
    <row r="236" spans="1:22" s="13" customFormat="1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</row>
    <row r="237" spans="1:22" s="13" customFormat="1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</row>
    <row r="238" spans="1:22" s="13" customFormat="1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</row>
    <row r="239" spans="1:22" s="13" customFormat="1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</row>
    <row r="240" spans="1:22" s="13" customFormat="1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</row>
    <row r="241" spans="1:22" s="13" customFormat="1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</row>
    <row r="242" spans="1:22" s="13" customFormat="1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</row>
    <row r="243" spans="1:22" s="13" customFormat="1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</row>
    <row r="244" spans="1:22" s="13" customFormat="1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</row>
    <row r="245" spans="1:22" s="13" customFormat="1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</row>
    <row r="246" spans="1:22" s="13" customFormat="1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</row>
    <row r="247" spans="1:22" s="13" customFormat="1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</row>
    <row r="248" spans="1:22" s="13" customFormat="1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</row>
    <row r="249" spans="1:22" s="13" customFormat="1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</row>
    <row r="250" spans="1:22" s="13" customFormat="1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</row>
    <row r="251" spans="1:22" s="13" customFormat="1">
      <c r="A251" s="123"/>
      <c r="B251" s="123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</row>
    <row r="252" spans="1:22" s="13" customFormat="1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</row>
    <row r="253" spans="1:22" s="13" customFormat="1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</row>
    <row r="254" spans="1:22" s="13" customFormat="1">
      <c r="A254" s="123"/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</row>
    <row r="255" spans="1:22" s="13" customFormat="1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</row>
    <row r="256" spans="1:22" s="13" customFormat="1">
      <c r="A256" s="123"/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</row>
    <row r="257" spans="1:22" s="13" customFormat="1">
      <c r="A257" s="123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</row>
    <row r="258" spans="1:22" s="13" customFormat="1">
      <c r="A258" s="123"/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</row>
    <row r="259" spans="1:22" s="13" customFormat="1">
      <c r="A259" s="123"/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</row>
    <row r="260" spans="1:22" s="13" customFormat="1">
      <c r="A260" s="123"/>
      <c r="B260" s="123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</row>
    <row r="261" spans="1:22" s="13" customFormat="1">
      <c r="A261" s="123"/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</row>
    <row r="262" spans="1:22" s="13" customFormat="1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</row>
    <row r="263" spans="1:22" s="9" customFormat="1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</row>
    <row r="264" spans="1:22" s="9" customFormat="1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</row>
    <row r="265" spans="1:22" s="2" customFormat="1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</row>
    <row r="266" spans="1:22" s="2" customFormat="1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</row>
    <row r="267" spans="1:22" s="2" customFormat="1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</row>
    <row r="268" spans="1:22" s="2" customFormat="1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</row>
    <row r="269" spans="1:22" s="2" customFormat="1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</row>
    <row r="270" spans="1:22" s="2" customFormat="1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</row>
    <row r="271" spans="1:22" s="2" customFormat="1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</row>
    <row r="272" spans="1:22" s="2" customFormat="1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</row>
    <row r="273" spans="1:22" s="2" customFormat="1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</row>
    <row r="274" spans="1:22" s="2" customFormat="1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</row>
    <row r="275" spans="1:22" s="2" customFormat="1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</row>
    <row r="276" spans="1:22" s="2" customFormat="1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</row>
    <row r="277" spans="1:22" s="2" customFormat="1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</row>
    <row r="278" spans="1:22" s="2" customFormat="1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</row>
    <row r="279" spans="1:22" s="2" customFormat="1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</row>
    <row r="280" spans="1:22" s="2" customFormat="1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</row>
    <row r="281" spans="1:22" s="2" customFormat="1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</row>
    <row r="282" spans="1:22" s="2" customFormat="1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</row>
    <row r="283" spans="1:22" s="2" customFormat="1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</row>
    <row r="284" spans="1:22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</row>
    <row r="285" spans="1:22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</row>
    <row r="286" spans="1:22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</row>
    <row r="287" spans="1:22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</row>
    <row r="288" spans="1:22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</row>
    <row r="289" spans="1:22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</row>
    <row r="290" spans="1:22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</row>
    <row r="291" spans="1:22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</row>
    <row r="292" spans="1:22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</row>
    <row r="293" spans="1:22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</row>
    <row r="294" spans="1:22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</row>
    <row r="295" spans="1:22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</row>
    <row r="296" spans="1:22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</row>
    <row r="297" spans="1:22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</row>
    <row r="298" spans="1:22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</row>
    <row r="299" spans="1:22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</row>
    <row r="300" spans="1:22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</row>
    <row r="301" spans="1:22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</row>
    <row r="302" spans="1:22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</row>
    <row r="303" spans="1:22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</row>
    <row r="304" spans="1:22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</row>
    <row r="305" spans="1:22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</row>
    <row r="306" spans="1:22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</row>
    <row r="307" spans="1:22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</row>
    <row r="308" spans="1:22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</row>
    <row r="309" spans="1:22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</row>
    <row r="310" spans="1:22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</row>
    <row r="311" spans="1:22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</row>
    <row r="312" spans="1:22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</row>
    <row r="313" spans="1:22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</row>
    <row r="314" spans="1:22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</row>
    <row r="315" spans="1:22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</row>
    <row r="316" spans="1:22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</row>
    <row r="317" spans="1:22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</row>
    <row r="318" spans="1:22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</row>
    <row r="319" spans="1:22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</row>
    <row r="320" spans="1:22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</row>
    <row r="321" spans="1:22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</row>
    <row r="322" spans="1:22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</row>
    <row r="323" spans="1:22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</row>
    <row r="324" spans="1:22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</row>
    <row r="325" spans="1:22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</row>
    <row r="326" spans="1:22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</row>
    <row r="327" spans="1:22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</row>
    <row r="328" spans="1:22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</row>
    <row r="329" spans="1:22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</row>
    <row r="330" spans="1:22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</row>
    <row r="331" spans="1:22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</row>
    <row r="332" spans="1:22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</row>
    <row r="333" spans="1:22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</row>
    <row r="334" spans="1:22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</row>
    <row r="335" spans="1:22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</row>
    <row r="336" spans="1:22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</row>
    <row r="337" spans="1:22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</row>
    <row r="338" spans="1:22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</row>
    <row r="339" spans="1:22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</row>
    <row r="340" spans="1:22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</row>
    <row r="341" spans="1:22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</row>
    <row r="342" spans="1:22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</row>
    <row r="343" spans="1:22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</row>
    <row r="344" spans="1:22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</row>
    <row r="345" spans="1:22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</row>
    <row r="346" spans="1:22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</row>
    <row r="347" spans="1:22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</row>
    <row r="348" spans="1:22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</row>
    <row r="349" spans="1:22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</row>
    <row r="350" spans="1:22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</row>
    <row r="351" spans="1:22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</row>
    <row r="352" spans="1:22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</row>
    <row r="353" spans="1:22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</row>
    <row r="354" spans="1:22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</row>
    <row r="355" spans="1:22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</row>
    <row r="356" spans="1:22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</row>
    <row r="357" spans="1:22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</row>
    <row r="358" spans="1:22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</row>
    <row r="359" spans="1:22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</row>
    <row r="360" spans="1:22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</row>
    <row r="361" spans="1:22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</row>
    <row r="362" spans="1:22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</row>
    <row r="363" spans="1:22" ht="14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</row>
    <row r="364" spans="1:22" ht="14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</row>
    <row r="365" spans="1:22" ht="14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</row>
    <row r="366" spans="1:22" ht="14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</row>
    <row r="367" spans="1:22" ht="14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</row>
    <row r="368" spans="1:22" ht="14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</row>
    <row r="369" spans="1:22" ht="14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</row>
    <row r="370" spans="1:22" ht="14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</row>
    <row r="371" spans="1:22" ht="14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</row>
    <row r="372" spans="1:22" ht="14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</row>
    <row r="373" spans="1:22" ht="14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</row>
    <row r="374" spans="1:22" ht="14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</row>
    <row r="375" spans="1:22" ht="14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</row>
    <row r="376" spans="1:22" ht="14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</row>
    <row r="377" spans="1:22" ht="14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</row>
    <row r="378" spans="1:22" ht="14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</row>
    <row r="379" spans="1:22" ht="14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</row>
    <row r="380" spans="1:22" ht="14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</row>
    <row r="381" spans="1:22" ht="14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</row>
    <row r="382" spans="1:22" ht="14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</row>
    <row r="383" spans="1:22" ht="14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</row>
    <row r="384" spans="1:22" ht="14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</row>
    <row r="385" spans="1:22" ht="14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</row>
    <row r="386" spans="1:22" ht="14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</row>
    <row r="387" spans="1:22" ht="14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</row>
    <row r="388" spans="1:22" ht="14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</row>
    <row r="389" spans="1:22" ht="14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</row>
    <row r="390" spans="1:22" ht="14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</row>
    <row r="391" spans="1:22" ht="14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</row>
    <row r="392" spans="1:22" ht="14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</row>
    <row r="393" spans="1:22" ht="14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</row>
    <row r="394" spans="1:22" ht="14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</row>
    <row r="395" spans="1:22" ht="14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</row>
    <row r="396" spans="1:22" ht="14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</row>
    <row r="397" spans="1:22" ht="14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</row>
    <row r="398" spans="1:22" ht="14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</row>
    <row r="399" spans="1:22" ht="14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</row>
    <row r="400" spans="1:22" ht="14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</row>
    <row r="401" spans="1:22" ht="14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</row>
    <row r="402" spans="1:22" ht="14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</row>
    <row r="403" spans="1:22" ht="14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</row>
    <row r="404" spans="1:22" ht="14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</row>
    <row r="405" spans="1:22" ht="14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</row>
    <row r="406" spans="1:22" ht="14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</row>
    <row r="407" spans="1:22" ht="14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</row>
    <row r="408" spans="1:22" ht="14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</row>
    <row r="409" spans="1:22" ht="14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</row>
    <row r="410" spans="1:22" ht="14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</row>
    <row r="411" spans="1:22" ht="14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</row>
    <row r="412" spans="1:22" ht="14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</row>
    <row r="413" spans="1:22" ht="14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</row>
    <row r="414" spans="1:22" ht="14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</row>
    <row r="415" spans="1:22" ht="14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</row>
    <row r="416" spans="1:22" ht="14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</row>
    <row r="417" spans="1:22" ht="14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</row>
    <row r="418" spans="1:22" ht="14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</row>
    <row r="419" spans="1:22" ht="14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</row>
    <row r="420" spans="1:22" ht="14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</row>
    <row r="421" spans="1:22" ht="14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</row>
    <row r="422" spans="1:22" ht="14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</row>
    <row r="423" spans="1:22" ht="14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</row>
  </sheetData>
  <mergeCells count="75">
    <mergeCell ref="E5:M5"/>
    <mergeCell ref="E6:M6"/>
    <mergeCell ref="E7:M7"/>
    <mergeCell ref="A17:A19"/>
    <mergeCell ref="B17:B19"/>
    <mergeCell ref="C17:C19"/>
    <mergeCell ref="D17:D19"/>
    <mergeCell ref="E17:E19"/>
    <mergeCell ref="F17:F19"/>
    <mergeCell ref="U17:U19"/>
    <mergeCell ref="V17:V19"/>
    <mergeCell ref="M18:M19"/>
    <mergeCell ref="N18:N19"/>
    <mergeCell ref="O18:Q18"/>
    <mergeCell ref="R18:R19"/>
    <mergeCell ref="S18:S19"/>
    <mergeCell ref="T18:T19"/>
    <mergeCell ref="A63:A65"/>
    <mergeCell ref="B63:B65"/>
    <mergeCell ref="C63:C65"/>
    <mergeCell ref="D63:D65"/>
    <mergeCell ref="E63:E65"/>
    <mergeCell ref="E90:M90"/>
    <mergeCell ref="M63:T63"/>
    <mergeCell ref="U63:U65"/>
    <mergeCell ref="V63:V65"/>
    <mergeCell ref="M64:M65"/>
    <mergeCell ref="N64:N65"/>
    <mergeCell ref="O64:Q64"/>
    <mergeCell ref="R64:R65"/>
    <mergeCell ref="S64:S65"/>
    <mergeCell ref="T64:T65"/>
    <mergeCell ref="G63:G65"/>
    <mergeCell ref="H63:H65"/>
    <mergeCell ref="I63:I65"/>
    <mergeCell ref="J63:J65"/>
    <mergeCell ref="K63:K65"/>
    <mergeCell ref="L63:L65"/>
    <mergeCell ref="E4:L4"/>
    <mergeCell ref="E49:L49"/>
    <mergeCell ref="E87:L87"/>
    <mergeCell ref="E88:M88"/>
    <mergeCell ref="E89:M89"/>
    <mergeCell ref="E50:M50"/>
    <mergeCell ref="E51:M51"/>
    <mergeCell ref="E52:M52"/>
    <mergeCell ref="F63:F65"/>
    <mergeCell ref="M17:T17"/>
    <mergeCell ref="G17:G19"/>
    <mergeCell ref="H17:H19"/>
    <mergeCell ref="I17:I19"/>
    <mergeCell ref="J17:J19"/>
    <mergeCell ref="K17:K19"/>
    <mergeCell ref="L17:L19"/>
    <mergeCell ref="L101:L103"/>
    <mergeCell ref="A101:A103"/>
    <mergeCell ref="B101:B103"/>
    <mergeCell ref="C101:C103"/>
    <mergeCell ref="D101:D103"/>
    <mergeCell ref="E101:E103"/>
    <mergeCell ref="F101:F103"/>
    <mergeCell ref="G101:G103"/>
    <mergeCell ref="H101:H103"/>
    <mergeCell ref="I101:I103"/>
    <mergeCell ref="J101:J103"/>
    <mergeCell ref="K101:K103"/>
    <mergeCell ref="M101:T101"/>
    <mergeCell ref="U101:U103"/>
    <mergeCell ref="V101:V103"/>
    <mergeCell ref="M102:M103"/>
    <mergeCell ref="N102:N103"/>
    <mergeCell ref="O102:Q102"/>
    <mergeCell ref="R102:R103"/>
    <mergeCell ref="S102:S103"/>
    <mergeCell ref="T102:T103"/>
  </mergeCells>
  <pageMargins left="0" right="0" top="0" bottom="0" header="0" footer="0"/>
  <pageSetup paperSize="9" scale="55" orientation="landscape" r:id="rId1"/>
  <headerFooter alignWithMargins="0"/>
  <rowBreaks count="2" manualBreakCount="2">
    <brk id="44" max="16383" man="1"/>
    <brk id="83" max="16383" man="1"/>
  </rowBreaks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HN363"/>
  <sheetViews>
    <sheetView view="pageBreakPreview" topLeftCell="A281" zoomScale="85" zoomScaleNormal="100" zoomScaleSheetLayoutView="85" workbookViewId="0">
      <selection activeCell="B193" sqref="B193"/>
    </sheetView>
  </sheetViews>
  <sheetFormatPr defaultRowHeight="12.75"/>
  <cols>
    <col min="1" max="1" width="3.140625" style="3" customWidth="1"/>
    <col min="2" max="2" width="20" style="3" customWidth="1"/>
    <col min="3" max="3" width="40.7109375" style="3" customWidth="1"/>
    <col min="4" max="4" width="9.42578125" style="3" customWidth="1"/>
    <col min="5" max="5" width="36.5703125" style="3" customWidth="1"/>
    <col min="6" max="6" width="11.140625" style="3" customWidth="1"/>
    <col min="7" max="7" width="9.28515625" style="3" customWidth="1"/>
    <col min="8" max="8" width="6.5703125" style="3" customWidth="1"/>
    <col min="9" max="9" width="8.28515625" style="3" customWidth="1"/>
    <col min="10" max="10" width="10" style="3" customWidth="1"/>
    <col min="11" max="11" width="6.7109375" style="3" customWidth="1"/>
    <col min="12" max="12" width="9.7109375" style="3" customWidth="1"/>
    <col min="13" max="13" width="9.140625" style="3"/>
    <col min="14" max="14" width="7.5703125" style="3" customWidth="1"/>
    <col min="15" max="15" width="7.28515625" style="3" customWidth="1"/>
    <col min="16" max="16" width="7" style="3" customWidth="1"/>
    <col min="17" max="17" width="8.5703125" style="3" customWidth="1"/>
    <col min="18" max="18" width="8.28515625" style="3" customWidth="1"/>
    <col min="19" max="19" width="6.85546875" style="3" customWidth="1"/>
    <col min="20" max="20" width="7" style="3" customWidth="1"/>
    <col min="21" max="21" width="9.7109375" style="3" customWidth="1"/>
    <col min="22" max="22" width="10.7109375" style="3" customWidth="1"/>
    <col min="23" max="16384" width="9.140625" style="3"/>
  </cols>
  <sheetData>
    <row r="1" spans="1:22" s="42" customFormat="1">
      <c r="A1" s="99" t="s">
        <v>0</v>
      </c>
      <c r="B1" s="99"/>
      <c r="C1" s="99"/>
      <c r="D1" s="99"/>
      <c r="E1" s="100"/>
      <c r="F1" s="100"/>
      <c r="G1" s="100"/>
      <c r="H1" s="100"/>
      <c r="I1" s="100"/>
      <c r="J1" s="100"/>
      <c r="K1" s="100"/>
      <c r="L1" s="100"/>
      <c r="M1" s="100"/>
      <c r="N1" s="69" t="s">
        <v>1</v>
      </c>
      <c r="O1" s="69"/>
      <c r="P1" s="69"/>
      <c r="Q1" s="69"/>
      <c r="R1" s="69"/>
      <c r="S1" s="69"/>
      <c r="T1" s="69"/>
      <c r="U1" s="70"/>
      <c r="V1" s="70"/>
    </row>
    <row r="2" spans="1:22" s="42" customFormat="1">
      <c r="A2" s="99" t="s">
        <v>2</v>
      </c>
      <c r="B2" s="99"/>
      <c r="C2" s="99"/>
      <c r="D2" s="99"/>
      <c r="E2" s="100"/>
      <c r="F2" s="100"/>
      <c r="G2" s="100"/>
      <c r="H2" s="100"/>
      <c r="I2" s="100"/>
      <c r="J2" s="100"/>
      <c r="K2" s="100"/>
      <c r="L2" s="100"/>
      <c r="M2" s="100"/>
      <c r="N2" s="69" t="s">
        <v>3</v>
      </c>
      <c r="O2" s="69"/>
      <c r="P2" s="69"/>
      <c r="Q2" s="69"/>
      <c r="R2" s="69"/>
      <c r="S2" s="69"/>
      <c r="T2" s="69"/>
      <c r="U2" s="70"/>
      <c r="V2" s="70"/>
    </row>
    <row r="3" spans="1:22" s="42" customFormat="1">
      <c r="A3" s="99"/>
      <c r="B3" s="99"/>
      <c r="C3" s="99"/>
      <c r="D3" s="99"/>
      <c r="E3" s="100"/>
      <c r="F3" s="100"/>
      <c r="G3" s="100"/>
      <c r="H3" s="100"/>
      <c r="I3" s="100"/>
      <c r="J3" s="100"/>
      <c r="K3" s="100"/>
      <c r="L3" s="100"/>
      <c r="M3" s="100"/>
      <c r="N3" s="68" t="s">
        <v>4</v>
      </c>
      <c r="O3" s="68"/>
      <c r="P3" s="68"/>
      <c r="Q3" s="68"/>
      <c r="R3" s="68"/>
      <c r="S3" s="68"/>
      <c r="T3" s="68"/>
      <c r="U3" s="70"/>
      <c r="V3" s="70"/>
    </row>
    <row r="4" spans="1:22" s="42" customFormat="1">
      <c r="A4" s="99" t="s">
        <v>5</v>
      </c>
      <c r="B4" s="99"/>
      <c r="C4" s="99" t="s">
        <v>6</v>
      </c>
      <c r="D4" s="99"/>
      <c r="E4" s="462" t="s">
        <v>183</v>
      </c>
      <c r="F4" s="462"/>
      <c r="G4" s="462"/>
      <c r="H4" s="462"/>
      <c r="I4" s="462"/>
      <c r="J4" s="462"/>
      <c r="K4" s="462"/>
      <c r="L4" s="462"/>
      <c r="M4" s="70"/>
      <c r="N4" s="69" t="s">
        <v>139</v>
      </c>
      <c r="O4" s="69"/>
      <c r="P4" s="69"/>
      <c r="Q4" s="69"/>
      <c r="R4" s="69"/>
      <c r="S4" s="69"/>
      <c r="T4" s="69"/>
      <c r="U4" s="70"/>
      <c r="V4" s="70"/>
    </row>
    <row r="5" spans="1:22" s="44" customFormat="1">
      <c r="A5" s="99"/>
      <c r="B5" s="99"/>
      <c r="C5" s="99"/>
      <c r="D5" s="99"/>
      <c r="E5" s="463" t="s">
        <v>184</v>
      </c>
      <c r="F5" s="463"/>
      <c r="G5" s="463"/>
      <c r="H5" s="463"/>
      <c r="I5" s="463"/>
      <c r="J5" s="463"/>
      <c r="K5" s="463"/>
      <c r="L5" s="463"/>
      <c r="M5" s="463"/>
      <c r="N5" s="100"/>
      <c r="O5" s="100"/>
      <c r="P5" s="100"/>
      <c r="Q5" s="100"/>
      <c r="R5" s="100"/>
      <c r="S5" s="100"/>
      <c r="T5" s="100"/>
      <c r="U5" s="100"/>
      <c r="V5" s="70"/>
    </row>
    <row r="6" spans="1:22" s="44" customFormat="1">
      <c r="A6" s="100"/>
      <c r="B6" s="100"/>
      <c r="C6" s="100"/>
      <c r="D6" s="100"/>
      <c r="E6" s="464" t="s">
        <v>219</v>
      </c>
      <c r="F6" s="464"/>
      <c r="G6" s="464"/>
      <c r="H6" s="464"/>
      <c r="I6" s="464"/>
      <c r="J6" s="464"/>
      <c r="K6" s="464"/>
      <c r="L6" s="464"/>
      <c r="M6" s="464"/>
      <c r="N6" s="100"/>
      <c r="O6" s="100"/>
      <c r="P6" s="100"/>
      <c r="Q6" s="100"/>
      <c r="R6" s="100"/>
      <c r="S6" s="100"/>
      <c r="T6" s="100"/>
      <c r="U6" s="100"/>
      <c r="V6" s="70"/>
    </row>
    <row r="7" spans="1:22" s="44" customFormat="1">
      <c r="A7" s="100"/>
      <c r="B7" s="100"/>
      <c r="C7" s="100"/>
      <c r="D7" s="100"/>
      <c r="E7" s="464" t="s">
        <v>7</v>
      </c>
      <c r="F7" s="464"/>
      <c r="G7" s="464"/>
      <c r="H7" s="464"/>
      <c r="I7" s="464"/>
      <c r="J7" s="464"/>
      <c r="K7" s="464"/>
      <c r="L7" s="464"/>
      <c r="M7" s="464"/>
      <c r="N7" s="100"/>
      <c r="O7" s="100"/>
      <c r="P7" s="100"/>
      <c r="Q7" s="100"/>
      <c r="R7" s="100"/>
      <c r="S7" s="100"/>
      <c r="T7" s="100"/>
      <c r="U7" s="100"/>
      <c r="V7" s="70"/>
    </row>
    <row r="8" spans="1:22" s="44" customForma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 t="s">
        <v>185</v>
      </c>
      <c r="R8" s="100"/>
      <c r="S8" s="100"/>
      <c r="T8" s="100"/>
      <c r="U8" s="100"/>
      <c r="V8" s="70"/>
    </row>
    <row r="9" spans="1:22" s="44" customForma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 t="s">
        <v>265</v>
      </c>
      <c r="R9" s="100"/>
      <c r="S9" s="100"/>
      <c r="T9" s="100"/>
      <c r="U9" s="100"/>
      <c r="V9" s="70"/>
    </row>
    <row r="10" spans="1:22" s="41" customFormat="1" ht="14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 t="s">
        <v>186</v>
      </c>
      <c r="R10" s="70"/>
      <c r="S10" s="70"/>
      <c r="T10" s="70" t="s">
        <v>340</v>
      </c>
      <c r="U10" s="70"/>
      <c r="V10" s="70"/>
    </row>
    <row r="11" spans="1:22" s="41" customFormat="1" ht="14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 t="s">
        <v>188</v>
      </c>
      <c r="R11" s="70"/>
      <c r="S11" s="70"/>
      <c r="T11" s="70">
        <v>1</v>
      </c>
      <c r="U11" s="70"/>
      <c r="V11" s="70"/>
    </row>
    <row r="12" spans="1:22" s="41" customFormat="1" ht="14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 t="s">
        <v>189</v>
      </c>
      <c r="R12" s="70"/>
      <c r="S12" s="70"/>
      <c r="T12" s="70">
        <v>25</v>
      </c>
      <c r="U12" s="70" t="s">
        <v>190</v>
      </c>
      <c r="V12" s="70"/>
    </row>
    <row r="13" spans="1:22" s="41" customFormat="1" ht="14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 t="s">
        <v>191</v>
      </c>
      <c r="R13" s="70"/>
      <c r="S13" s="70"/>
      <c r="T13" s="70">
        <v>25</v>
      </c>
      <c r="U13" s="70">
        <f>T13*100/T12</f>
        <v>100</v>
      </c>
      <c r="V13" s="70" t="s">
        <v>17</v>
      </c>
    </row>
    <row r="14" spans="1:22" s="41" customFormat="1" ht="14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 t="s">
        <v>192</v>
      </c>
      <c r="R14" s="70"/>
      <c r="S14" s="70"/>
      <c r="T14" s="70">
        <v>0</v>
      </c>
      <c r="U14" s="70">
        <f>T14*100/T12</f>
        <v>0</v>
      </c>
      <c r="V14" s="70" t="s">
        <v>17</v>
      </c>
    </row>
    <row r="15" spans="1:22" s="41" customFormat="1" ht="14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 t="s">
        <v>193</v>
      </c>
      <c r="R15" s="70"/>
      <c r="S15" s="70"/>
      <c r="T15" s="324">
        <f>K41</f>
        <v>198.6</v>
      </c>
      <c r="U15" s="70"/>
      <c r="V15" s="70"/>
    </row>
    <row r="16" spans="1:22" s="41" customFormat="1" ht="14.25">
      <c r="A16" s="70"/>
      <c r="B16" s="70" t="s">
        <v>350</v>
      </c>
      <c r="C16" s="70" t="s">
        <v>341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</row>
    <row r="17" spans="1:22" s="41" customFormat="1" ht="14.25">
      <c r="A17" s="459" t="s">
        <v>195</v>
      </c>
      <c r="B17" s="459" t="s">
        <v>196</v>
      </c>
      <c r="C17" s="459" t="s">
        <v>197</v>
      </c>
      <c r="D17" s="459" t="s">
        <v>198</v>
      </c>
      <c r="E17" s="459" t="s">
        <v>10</v>
      </c>
      <c r="F17" s="459" t="s">
        <v>199</v>
      </c>
      <c r="G17" s="459" t="s">
        <v>200</v>
      </c>
      <c r="H17" s="459" t="s">
        <v>201</v>
      </c>
      <c r="I17" s="459" t="s">
        <v>247</v>
      </c>
      <c r="J17" s="459" t="s">
        <v>11</v>
      </c>
      <c r="K17" s="459" t="s">
        <v>203</v>
      </c>
      <c r="L17" s="459" t="s">
        <v>12</v>
      </c>
      <c r="M17" s="458" t="s">
        <v>204</v>
      </c>
      <c r="N17" s="458"/>
      <c r="O17" s="458"/>
      <c r="P17" s="458"/>
      <c r="Q17" s="458"/>
      <c r="R17" s="458"/>
      <c r="S17" s="458"/>
      <c r="T17" s="458"/>
      <c r="U17" s="459" t="s">
        <v>320</v>
      </c>
      <c r="V17" s="459" t="s">
        <v>206</v>
      </c>
    </row>
    <row r="18" spans="1:22" s="41" customFormat="1" ht="14.25">
      <c r="A18" s="460"/>
      <c r="B18" s="460"/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459" t="s">
        <v>207</v>
      </c>
      <c r="N18" s="459" t="s">
        <v>15</v>
      </c>
      <c r="O18" s="458" t="s">
        <v>16</v>
      </c>
      <c r="P18" s="458"/>
      <c r="Q18" s="458"/>
      <c r="R18" s="459"/>
      <c r="S18" s="459"/>
      <c r="T18" s="459"/>
      <c r="U18" s="460"/>
      <c r="V18" s="460"/>
    </row>
    <row r="19" spans="1:22" s="41" customFormat="1" ht="59.25" customHeight="1">
      <c r="A19" s="461"/>
      <c r="B19" s="461"/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71" t="s">
        <v>17</v>
      </c>
      <c r="P19" s="71" t="s">
        <v>18</v>
      </c>
      <c r="Q19" s="71" t="s">
        <v>19</v>
      </c>
      <c r="R19" s="461"/>
      <c r="S19" s="461"/>
      <c r="T19" s="461"/>
      <c r="U19" s="461"/>
      <c r="V19" s="461"/>
    </row>
    <row r="20" spans="1:22" s="42" customFormat="1" ht="38.25">
      <c r="A20" s="102">
        <v>1</v>
      </c>
      <c r="B20" s="79"/>
      <c r="C20" s="86" t="s">
        <v>208</v>
      </c>
      <c r="D20" s="102" t="s">
        <v>51</v>
      </c>
      <c r="E20" s="79" t="s">
        <v>52</v>
      </c>
      <c r="F20" s="79" t="s">
        <v>53</v>
      </c>
      <c r="G20" s="111" t="s">
        <v>148</v>
      </c>
      <c r="H20" s="82" t="s">
        <v>25</v>
      </c>
      <c r="I20" s="74">
        <v>92201</v>
      </c>
      <c r="J20" s="75">
        <f>I20/72</f>
        <v>1280.57</v>
      </c>
      <c r="K20" s="76">
        <v>17</v>
      </c>
      <c r="L20" s="77">
        <f>J20*K20</f>
        <v>21770</v>
      </c>
      <c r="M20" s="102"/>
      <c r="N20" s="102"/>
      <c r="O20" s="102">
        <v>25</v>
      </c>
      <c r="P20" s="102">
        <v>10.199999999999999</v>
      </c>
      <c r="Q20" s="77">
        <f>17697*25%/72*P20</f>
        <v>627</v>
      </c>
      <c r="R20" s="77"/>
      <c r="S20" s="77"/>
      <c r="T20" s="77"/>
      <c r="U20" s="77">
        <f>L20*10%</f>
        <v>2177</v>
      </c>
      <c r="V20" s="77">
        <f>M20+N20+Q20+R20+T20+U20+S20+L20</f>
        <v>24574</v>
      </c>
    </row>
    <row r="21" spans="1:22" s="42" customFormat="1" ht="45.75" customHeight="1">
      <c r="A21" s="79">
        <v>2</v>
      </c>
      <c r="B21" s="37"/>
      <c r="C21" s="102" t="s">
        <v>208</v>
      </c>
      <c r="D21" s="102" t="s">
        <v>51</v>
      </c>
      <c r="E21" s="102" t="s">
        <v>92</v>
      </c>
      <c r="F21" s="102" t="s">
        <v>93</v>
      </c>
      <c r="G21" s="73" t="s">
        <v>163</v>
      </c>
      <c r="H21" s="74" t="s">
        <v>25</v>
      </c>
      <c r="I21" s="74">
        <v>93971</v>
      </c>
      <c r="J21" s="75">
        <f t="shared" ref="J21:J38" si="0">I21/72</f>
        <v>1305.1500000000001</v>
      </c>
      <c r="K21" s="76">
        <v>17</v>
      </c>
      <c r="L21" s="77">
        <f t="shared" ref="L21:L40" si="1">J21*K21</f>
        <v>22188</v>
      </c>
      <c r="M21" s="102"/>
      <c r="N21" s="102"/>
      <c r="O21" s="102">
        <v>25</v>
      </c>
      <c r="P21" s="102">
        <v>10.199999999999999</v>
      </c>
      <c r="Q21" s="77">
        <f t="shared" ref="Q21" si="2">17697*25%/72*P21</f>
        <v>627</v>
      </c>
      <c r="R21" s="102"/>
      <c r="S21" s="102"/>
      <c r="T21" s="77"/>
      <c r="U21" s="77">
        <f>L21*10%</f>
        <v>2219</v>
      </c>
      <c r="V21" s="77">
        <f>M21+N21+Q21+R21+T21+U21+S21+L21</f>
        <v>25034</v>
      </c>
    </row>
    <row r="22" spans="1:22" s="42" customFormat="1" ht="82.5" customHeight="1">
      <c r="A22" s="102">
        <v>3</v>
      </c>
      <c r="B22" s="80"/>
      <c r="C22" s="81" t="s">
        <v>60</v>
      </c>
      <c r="D22" s="102" t="s">
        <v>51</v>
      </c>
      <c r="E22" s="83" t="s">
        <v>61</v>
      </c>
      <c r="F22" s="80" t="s">
        <v>62</v>
      </c>
      <c r="G22" s="82" t="s">
        <v>156</v>
      </c>
      <c r="H22" s="74" t="s">
        <v>25</v>
      </c>
      <c r="I22" s="82">
        <v>89016</v>
      </c>
      <c r="J22" s="75">
        <f t="shared" si="0"/>
        <v>1236.33</v>
      </c>
      <c r="K22" s="76">
        <v>14</v>
      </c>
      <c r="L22" s="77">
        <f t="shared" si="1"/>
        <v>17309</v>
      </c>
      <c r="M22" s="102"/>
      <c r="N22" s="102"/>
      <c r="O22" s="102">
        <v>25</v>
      </c>
      <c r="P22" s="102">
        <v>5.6</v>
      </c>
      <c r="Q22" s="77">
        <f>17697*25%/72*P22</f>
        <v>344</v>
      </c>
      <c r="R22" s="102"/>
      <c r="S22" s="102"/>
      <c r="T22" s="77"/>
      <c r="U22" s="77">
        <f t="shared" ref="U22:U40" si="3">L22*10%</f>
        <v>1731</v>
      </c>
      <c r="V22" s="77">
        <f t="shared" ref="V22:V40" si="4">M22+N22+Q22+R22+T22+U22+S22+L22</f>
        <v>19384</v>
      </c>
    </row>
    <row r="23" spans="1:22" s="42" customFormat="1" ht="43.5" customHeight="1">
      <c r="A23" s="79">
        <v>4</v>
      </c>
      <c r="B23" s="37"/>
      <c r="C23" s="36" t="s">
        <v>77</v>
      </c>
      <c r="D23" s="102" t="s">
        <v>51</v>
      </c>
      <c r="E23" s="37" t="s">
        <v>228</v>
      </c>
      <c r="F23" s="37" t="s">
        <v>229</v>
      </c>
      <c r="G23" s="36" t="s">
        <v>227</v>
      </c>
      <c r="H23" s="36" t="s">
        <v>25</v>
      </c>
      <c r="I23" s="36">
        <v>85653</v>
      </c>
      <c r="J23" s="75">
        <f t="shared" si="0"/>
        <v>1189.6300000000001</v>
      </c>
      <c r="K23" s="76">
        <v>7.2</v>
      </c>
      <c r="L23" s="77">
        <f t="shared" si="1"/>
        <v>8565</v>
      </c>
      <c r="M23" s="102"/>
      <c r="N23" s="102"/>
      <c r="O23" s="102">
        <v>20</v>
      </c>
      <c r="P23" s="102">
        <v>7.2</v>
      </c>
      <c r="Q23" s="77">
        <f>17697*20%/72*P23</f>
        <v>354</v>
      </c>
      <c r="R23" s="102"/>
      <c r="S23" s="102"/>
      <c r="T23" s="77"/>
      <c r="U23" s="77">
        <f t="shared" si="3"/>
        <v>857</v>
      </c>
      <c r="V23" s="77">
        <f t="shared" si="4"/>
        <v>9776</v>
      </c>
    </row>
    <row r="24" spans="1:22" s="42" customFormat="1" ht="36.75" customHeight="1">
      <c r="A24" s="102">
        <v>5</v>
      </c>
      <c r="B24" s="80"/>
      <c r="C24" s="36" t="s">
        <v>77</v>
      </c>
      <c r="D24" s="102" t="s">
        <v>51</v>
      </c>
      <c r="E24" s="83" t="s">
        <v>75</v>
      </c>
      <c r="F24" s="80" t="s">
        <v>76</v>
      </c>
      <c r="G24" s="80" t="s">
        <v>152</v>
      </c>
      <c r="H24" s="74" t="s">
        <v>25</v>
      </c>
      <c r="I24" s="82">
        <v>90609</v>
      </c>
      <c r="J24" s="75">
        <f t="shared" si="0"/>
        <v>1258.46</v>
      </c>
      <c r="K24" s="102">
        <v>7.2</v>
      </c>
      <c r="L24" s="77">
        <f t="shared" si="1"/>
        <v>9061</v>
      </c>
      <c r="M24" s="102"/>
      <c r="N24" s="102"/>
      <c r="O24" s="102">
        <v>20</v>
      </c>
      <c r="P24" s="102">
        <v>7.2</v>
      </c>
      <c r="Q24" s="77">
        <f>17697*20%/72*P24</f>
        <v>354</v>
      </c>
      <c r="R24" s="102"/>
      <c r="S24" s="102"/>
      <c r="T24" s="77"/>
      <c r="U24" s="77">
        <f t="shared" si="3"/>
        <v>906</v>
      </c>
      <c r="V24" s="77">
        <f t="shared" si="4"/>
        <v>10321</v>
      </c>
    </row>
    <row r="25" spans="1:22" s="42" customFormat="1" ht="43.5" customHeight="1">
      <c r="A25" s="79">
        <v>6</v>
      </c>
      <c r="B25" s="73"/>
      <c r="C25" s="85" t="s">
        <v>212</v>
      </c>
      <c r="D25" s="102" t="s">
        <v>51</v>
      </c>
      <c r="E25" s="73" t="s">
        <v>68</v>
      </c>
      <c r="F25" s="73" t="s">
        <v>69</v>
      </c>
      <c r="G25" s="73" t="s">
        <v>151</v>
      </c>
      <c r="H25" s="74" t="s">
        <v>25</v>
      </c>
      <c r="I25" s="74">
        <v>93971</v>
      </c>
      <c r="J25" s="75">
        <f t="shared" si="0"/>
        <v>1305.1500000000001</v>
      </c>
      <c r="K25" s="76">
        <v>9</v>
      </c>
      <c r="L25" s="77">
        <f t="shared" si="1"/>
        <v>11746</v>
      </c>
      <c r="M25" s="102"/>
      <c r="N25" s="102"/>
      <c r="O25" s="102"/>
      <c r="P25" s="102"/>
      <c r="Q25" s="77">
        <f t="shared" ref="Q25:Q40" si="5">17697*20%/72*P25</f>
        <v>0</v>
      </c>
      <c r="R25" s="102"/>
      <c r="S25" s="102"/>
      <c r="T25" s="77"/>
      <c r="U25" s="77">
        <f t="shared" si="3"/>
        <v>1175</v>
      </c>
      <c r="V25" s="77">
        <f t="shared" si="4"/>
        <v>12921</v>
      </c>
    </row>
    <row r="26" spans="1:22" s="42" customFormat="1" ht="65.25" customHeight="1">
      <c r="A26" s="102">
        <v>7</v>
      </c>
      <c r="B26" s="37"/>
      <c r="C26" s="37" t="s">
        <v>224</v>
      </c>
      <c r="D26" s="102" t="s">
        <v>51</v>
      </c>
      <c r="E26" s="37" t="s">
        <v>220</v>
      </c>
      <c r="F26" s="37" t="s">
        <v>221</v>
      </c>
      <c r="G26" s="37" t="s">
        <v>146</v>
      </c>
      <c r="H26" s="86" t="s">
        <v>25</v>
      </c>
      <c r="I26" s="94">
        <v>80875</v>
      </c>
      <c r="J26" s="75">
        <f t="shared" si="0"/>
        <v>1123.26</v>
      </c>
      <c r="K26" s="76">
        <f>3.8+7.2</f>
        <v>11</v>
      </c>
      <c r="L26" s="77">
        <f t="shared" si="1"/>
        <v>12356</v>
      </c>
      <c r="M26" s="102"/>
      <c r="N26" s="102"/>
      <c r="O26" s="102"/>
      <c r="P26" s="102"/>
      <c r="Q26" s="77">
        <f t="shared" si="5"/>
        <v>0</v>
      </c>
      <c r="R26" s="102"/>
      <c r="S26" s="102"/>
      <c r="T26" s="77"/>
      <c r="U26" s="77">
        <f t="shared" si="3"/>
        <v>1236</v>
      </c>
      <c r="V26" s="77">
        <f t="shared" si="4"/>
        <v>13592</v>
      </c>
    </row>
    <row r="27" spans="1:22" s="42" customFormat="1" ht="31.5" customHeight="1">
      <c r="A27" s="79">
        <v>8</v>
      </c>
      <c r="B27" s="73"/>
      <c r="C27" s="85" t="s">
        <v>117</v>
      </c>
      <c r="D27" s="102" t="s">
        <v>51</v>
      </c>
      <c r="E27" s="73" t="s">
        <v>111</v>
      </c>
      <c r="F27" s="73" t="s">
        <v>118</v>
      </c>
      <c r="G27" s="73" t="s">
        <v>171</v>
      </c>
      <c r="H27" s="74" t="s">
        <v>25</v>
      </c>
      <c r="I27" s="74">
        <v>92201</v>
      </c>
      <c r="J27" s="75">
        <f t="shared" si="0"/>
        <v>1280.57</v>
      </c>
      <c r="K27" s="76">
        <v>15.6</v>
      </c>
      <c r="L27" s="77">
        <f t="shared" si="1"/>
        <v>19977</v>
      </c>
      <c r="M27" s="102"/>
      <c r="N27" s="102"/>
      <c r="O27" s="102">
        <v>20</v>
      </c>
      <c r="P27" s="76">
        <v>15.6</v>
      </c>
      <c r="Q27" s="77">
        <f t="shared" si="5"/>
        <v>767</v>
      </c>
      <c r="R27" s="102"/>
      <c r="S27" s="102"/>
      <c r="T27" s="77"/>
      <c r="U27" s="77">
        <f t="shared" si="3"/>
        <v>1998</v>
      </c>
      <c r="V27" s="77">
        <f t="shared" si="4"/>
        <v>22742</v>
      </c>
    </row>
    <row r="28" spans="1:22" s="42" customFormat="1" ht="33.75" customHeight="1">
      <c r="A28" s="102">
        <v>9</v>
      </c>
      <c r="B28" s="37"/>
      <c r="C28" s="85" t="s">
        <v>33</v>
      </c>
      <c r="D28" s="102" t="s">
        <v>51</v>
      </c>
      <c r="E28" s="37" t="s">
        <v>34</v>
      </c>
      <c r="F28" s="37" t="s">
        <v>35</v>
      </c>
      <c r="G28" s="82" t="s">
        <v>141</v>
      </c>
      <c r="H28" s="82" t="s">
        <v>25</v>
      </c>
      <c r="I28" s="82">
        <v>85653</v>
      </c>
      <c r="J28" s="75">
        <f t="shared" si="0"/>
        <v>1189.6300000000001</v>
      </c>
      <c r="K28" s="102">
        <v>3.8</v>
      </c>
      <c r="L28" s="77">
        <f t="shared" si="1"/>
        <v>4521</v>
      </c>
      <c r="M28" s="102"/>
      <c r="N28" s="102"/>
      <c r="O28" s="102"/>
      <c r="P28" s="102"/>
      <c r="Q28" s="77">
        <f t="shared" si="5"/>
        <v>0</v>
      </c>
      <c r="R28" s="102"/>
      <c r="S28" s="102"/>
      <c r="T28" s="77"/>
      <c r="U28" s="77">
        <f t="shared" si="3"/>
        <v>452</v>
      </c>
      <c r="V28" s="77">
        <f t="shared" si="4"/>
        <v>4973</v>
      </c>
    </row>
    <row r="29" spans="1:22" s="42" customFormat="1" ht="54.75" customHeight="1">
      <c r="A29" s="79">
        <v>10</v>
      </c>
      <c r="B29" s="94"/>
      <c r="C29" s="94" t="s">
        <v>210</v>
      </c>
      <c r="D29" s="102" t="s">
        <v>51</v>
      </c>
      <c r="E29" s="94" t="s">
        <v>225</v>
      </c>
      <c r="F29" s="94" t="s">
        <v>226</v>
      </c>
      <c r="G29" s="108" t="s">
        <v>147</v>
      </c>
      <c r="H29" s="86" t="s">
        <v>25</v>
      </c>
      <c r="I29" s="94">
        <v>89016</v>
      </c>
      <c r="J29" s="75">
        <f t="shared" si="0"/>
        <v>1236.33</v>
      </c>
      <c r="K29" s="76">
        <v>7.6</v>
      </c>
      <c r="L29" s="77">
        <f t="shared" si="1"/>
        <v>9396</v>
      </c>
      <c r="M29" s="102"/>
      <c r="N29" s="102"/>
      <c r="O29" s="102"/>
      <c r="P29" s="102"/>
      <c r="Q29" s="77">
        <f t="shared" si="5"/>
        <v>0</v>
      </c>
      <c r="R29" s="102"/>
      <c r="S29" s="102"/>
      <c r="T29" s="77"/>
      <c r="U29" s="77">
        <f t="shared" si="3"/>
        <v>940</v>
      </c>
      <c r="V29" s="77">
        <f t="shared" si="4"/>
        <v>10336</v>
      </c>
    </row>
    <row r="30" spans="1:22" s="42" customFormat="1" ht="67.5" customHeight="1">
      <c r="A30" s="102">
        <v>11</v>
      </c>
      <c r="B30" s="83"/>
      <c r="C30" s="80" t="s">
        <v>110</v>
      </c>
      <c r="D30" s="102" t="s">
        <v>51</v>
      </c>
      <c r="E30" s="80" t="s">
        <v>111</v>
      </c>
      <c r="F30" s="80" t="s">
        <v>112</v>
      </c>
      <c r="G30" s="80" t="s">
        <v>169</v>
      </c>
      <c r="H30" s="82" t="s">
        <v>25</v>
      </c>
      <c r="I30" s="82">
        <v>92201</v>
      </c>
      <c r="J30" s="75">
        <f t="shared" si="0"/>
        <v>1280.57</v>
      </c>
      <c r="K30" s="102">
        <v>14.6</v>
      </c>
      <c r="L30" s="77">
        <f t="shared" si="1"/>
        <v>18696</v>
      </c>
      <c r="M30" s="102"/>
      <c r="N30" s="102"/>
      <c r="O30" s="102">
        <v>20</v>
      </c>
      <c r="P30" s="102">
        <v>14.6</v>
      </c>
      <c r="Q30" s="77">
        <f t="shared" si="5"/>
        <v>718</v>
      </c>
      <c r="R30" s="102"/>
      <c r="S30" s="102"/>
      <c r="T30" s="77"/>
      <c r="U30" s="77">
        <f t="shared" si="3"/>
        <v>1870</v>
      </c>
      <c r="V30" s="77">
        <f t="shared" si="4"/>
        <v>21284</v>
      </c>
    </row>
    <row r="31" spans="1:22" s="42" customFormat="1" ht="47.25" customHeight="1">
      <c r="A31" s="79">
        <v>12</v>
      </c>
      <c r="B31" s="80"/>
      <c r="C31" s="81" t="s">
        <v>239</v>
      </c>
      <c r="D31" s="102" t="s">
        <v>51</v>
      </c>
      <c r="E31" s="37" t="s">
        <v>90</v>
      </c>
      <c r="F31" s="80" t="s">
        <v>91</v>
      </c>
      <c r="G31" s="80" t="s">
        <v>162</v>
      </c>
      <c r="H31" s="74" t="s">
        <v>25</v>
      </c>
      <c r="I31" s="82">
        <v>92201</v>
      </c>
      <c r="J31" s="106">
        <f t="shared" si="0"/>
        <v>1280.57</v>
      </c>
      <c r="K31" s="102">
        <f>11.6+5.4</f>
        <v>17</v>
      </c>
      <c r="L31" s="77">
        <f t="shared" si="1"/>
        <v>21770</v>
      </c>
      <c r="M31" s="102"/>
      <c r="N31" s="102"/>
      <c r="O31" s="102">
        <v>20</v>
      </c>
      <c r="P31" s="102">
        <v>11.6</v>
      </c>
      <c r="Q31" s="77">
        <f t="shared" si="5"/>
        <v>570</v>
      </c>
      <c r="R31" s="102"/>
      <c r="S31" s="102"/>
      <c r="T31" s="77"/>
      <c r="U31" s="77">
        <f t="shared" si="3"/>
        <v>2177</v>
      </c>
      <c r="V31" s="77">
        <f t="shared" si="4"/>
        <v>24517</v>
      </c>
    </row>
    <row r="32" spans="1:22" s="42" customFormat="1" ht="38.25" customHeight="1">
      <c r="A32" s="102">
        <v>13</v>
      </c>
      <c r="B32" s="37"/>
      <c r="C32" s="80" t="s">
        <v>267</v>
      </c>
      <c r="D32" s="102" t="s">
        <v>51</v>
      </c>
      <c r="E32" s="80" t="s">
        <v>63</v>
      </c>
      <c r="F32" s="80" t="s">
        <v>64</v>
      </c>
      <c r="G32" s="80" t="s">
        <v>157</v>
      </c>
      <c r="H32" s="82" t="s">
        <v>25</v>
      </c>
      <c r="I32" s="82">
        <v>90609</v>
      </c>
      <c r="J32" s="75">
        <f t="shared" si="0"/>
        <v>1258.46</v>
      </c>
      <c r="K32" s="76">
        <f>3.6+2</f>
        <v>5.6</v>
      </c>
      <c r="L32" s="77">
        <f t="shared" si="1"/>
        <v>7047</v>
      </c>
      <c r="M32" s="102"/>
      <c r="N32" s="102"/>
      <c r="O32" s="102"/>
      <c r="P32" s="102"/>
      <c r="Q32" s="77">
        <f t="shared" si="5"/>
        <v>0</v>
      </c>
      <c r="R32" s="102"/>
      <c r="S32" s="102"/>
      <c r="T32" s="77"/>
      <c r="U32" s="77">
        <f t="shared" si="3"/>
        <v>705</v>
      </c>
      <c r="V32" s="77">
        <f t="shared" si="4"/>
        <v>7752</v>
      </c>
    </row>
    <row r="33" spans="1:222" s="43" customFormat="1" ht="36.75" customHeight="1">
      <c r="A33" s="79">
        <v>14</v>
      </c>
      <c r="B33" s="84"/>
      <c r="C33" s="84" t="s">
        <v>100</v>
      </c>
      <c r="D33" s="102" t="s">
        <v>51</v>
      </c>
      <c r="E33" s="84" t="s">
        <v>101</v>
      </c>
      <c r="F33" s="84" t="s">
        <v>102</v>
      </c>
      <c r="G33" s="84" t="s">
        <v>166</v>
      </c>
      <c r="H33" s="74" t="s">
        <v>25</v>
      </c>
      <c r="I33" s="82">
        <v>92201</v>
      </c>
      <c r="J33" s="75">
        <f t="shared" si="0"/>
        <v>1280.57</v>
      </c>
      <c r="K33" s="76">
        <v>15.2</v>
      </c>
      <c r="L33" s="77">
        <f t="shared" si="1"/>
        <v>19465</v>
      </c>
      <c r="M33" s="102"/>
      <c r="N33" s="102"/>
      <c r="O33" s="102"/>
      <c r="P33" s="102"/>
      <c r="Q33" s="77">
        <f t="shared" si="5"/>
        <v>0</v>
      </c>
      <c r="R33" s="102"/>
      <c r="S33" s="102"/>
      <c r="T33" s="77"/>
      <c r="U33" s="77">
        <f t="shared" si="3"/>
        <v>1947</v>
      </c>
      <c r="V33" s="77">
        <f t="shared" si="4"/>
        <v>21412</v>
      </c>
      <c r="W33" s="49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</row>
    <row r="34" spans="1:222" s="45" customFormat="1" ht="42.75" customHeight="1">
      <c r="A34" s="102">
        <v>15</v>
      </c>
      <c r="B34" s="80"/>
      <c r="C34" s="80" t="s">
        <v>100</v>
      </c>
      <c r="D34" s="102" t="s">
        <v>51</v>
      </c>
      <c r="E34" s="80" t="s">
        <v>115</v>
      </c>
      <c r="F34" s="80" t="s">
        <v>116</v>
      </c>
      <c r="G34" s="80" t="s">
        <v>89</v>
      </c>
      <c r="H34" s="74" t="s">
        <v>25</v>
      </c>
      <c r="I34" s="82">
        <v>93971</v>
      </c>
      <c r="J34" s="75">
        <f t="shared" si="0"/>
        <v>1305.1500000000001</v>
      </c>
      <c r="K34" s="76">
        <v>11.6</v>
      </c>
      <c r="L34" s="77">
        <f t="shared" si="1"/>
        <v>15140</v>
      </c>
      <c r="M34" s="102"/>
      <c r="N34" s="102"/>
      <c r="O34" s="102"/>
      <c r="P34" s="102"/>
      <c r="Q34" s="77">
        <f t="shared" si="5"/>
        <v>0</v>
      </c>
      <c r="R34" s="102"/>
      <c r="S34" s="102"/>
      <c r="T34" s="77"/>
      <c r="U34" s="77">
        <f t="shared" si="3"/>
        <v>1514</v>
      </c>
      <c r="V34" s="77">
        <f t="shared" si="4"/>
        <v>16654</v>
      </c>
      <c r="W34" s="50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</row>
    <row r="35" spans="1:222" s="45" customFormat="1" ht="42.75" customHeight="1">
      <c r="A35" s="79">
        <v>16</v>
      </c>
      <c r="B35" s="37"/>
      <c r="C35" s="81" t="s">
        <v>45</v>
      </c>
      <c r="D35" s="102" t="s">
        <v>51</v>
      </c>
      <c r="E35" s="37" t="s">
        <v>46</v>
      </c>
      <c r="F35" s="80" t="s">
        <v>47</v>
      </c>
      <c r="G35" s="80" t="s">
        <v>178</v>
      </c>
      <c r="H35" s="82" t="s">
        <v>25</v>
      </c>
      <c r="I35" s="82">
        <v>93971</v>
      </c>
      <c r="J35" s="75">
        <f t="shared" si="0"/>
        <v>1305.1500000000001</v>
      </c>
      <c r="K35" s="102">
        <v>5</v>
      </c>
      <c r="L35" s="77">
        <f t="shared" si="1"/>
        <v>6526</v>
      </c>
      <c r="M35" s="102"/>
      <c r="N35" s="102"/>
      <c r="O35" s="102"/>
      <c r="P35" s="102"/>
      <c r="Q35" s="77">
        <f t="shared" si="5"/>
        <v>0</v>
      </c>
      <c r="R35" s="102"/>
      <c r="S35" s="102"/>
      <c r="T35" s="77"/>
      <c r="U35" s="77">
        <f t="shared" si="3"/>
        <v>653</v>
      </c>
      <c r="V35" s="77">
        <f t="shared" si="4"/>
        <v>7179</v>
      </c>
      <c r="W35" s="50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</row>
    <row r="36" spans="1:222" s="42" customFormat="1" ht="80.25" customHeight="1">
      <c r="A36" s="102">
        <v>17</v>
      </c>
      <c r="B36" s="83"/>
      <c r="C36" s="81" t="s">
        <v>351</v>
      </c>
      <c r="D36" s="102" t="s">
        <v>51</v>
      </c>
      <c r="E36" s="80" t="s">
        <v>126</v>
      </c>
      <c r="F36" s="37" t="s">
        <v>127</v>
      </c>
      <c r="G36" s="80" t="s">
        <v>41</v>
      </c>
      <c r="H36" s="82" t="s">
        <v>42</v>
      </c>
      <c r="I36" s="74">
        <v>93971</v>
      </c>
      <c r="J36" s="106">
        <f t="shared" si="0"/>
        <v>1305.1500000000001</v>
      </c>
      <c r="K36" s="104">
        <v>3.4</v>
      </c>
      <c r="L36" s="107">
        <f t="shared" si="1"/>
        <v>4438</v>
      </c>
      <c r="M36" s="104"/>
      <c r="N36" s="104"/>
      <c r="O36" s="104"/>
      <c r="P36" s="104"/>
      <c r="Q36" s="107">
        <f t="shared" si="5"/>
        <v>0</v>
      </c>
      <c r="R36" s="104"/>
      <c r="S36" s="104"/>
      <c r="T36" s="107"/>
      <c r="U36" s="107">
        <f t="shared" si="3"/>
        <v>444</v>
      </c>
      <c r="V36" s="107">
        <f t="shared" si="4"/>
        <v>4882</v>
      </c>
      <c r="W36" s="50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</row>
    <row r="37" spans="1:222" s="42" customFormat="1">
      <c r="A37" s="79">
        <v>18</v>
      </c>
      <c r="B37" s="333"/>
      <c r="C37" s="334" t="s">
        <v>493</v>
      </c>
      <c r="D37" s="102" t="s">
        <v>51</v>
      </c>
      <c r="E37" s="335"/>
      <c r="F37" s="327"/>
      <c r="G37" s="80"/>
      <c r="H37" s="82"/>
      <c r="I37" s="74"/>
      <c r="J37" s="106"/>
      <c r="K37" s="104"/>
      <c r="L37" s="107"/>
      <c r="M37" s="104">
        <v>4424</v>
      </c>
      <c r="N37" s="104"/>
      <c r="O37" s="104"/>
      <c r="P37" s="104"/>
      <c r="Q37" s="107"/>
      <c r="R37" s="104"/>
      <c r="S37" s="104"/>
      <c r="T37" s="107"/>
      <c r="U37" s="107">
        <f t="shared" si="3"/>
        <v>0</v>
      </c>
      <c r="V37" s="107">
        <f t="shared" si="4"/>
        <v>4424</v>
      </c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</row>
    <row r="38" spans="1:222" s="42" customFormat="1" ht="36" customHeight="1">
      <c r="A38" s="102">
        <v>19</v>
      </c>
      <c r="B38" s="37" t="s">
        <v>49</v>
      </c>
      <c r="C38" s="37" t="s">
        <v>353</v>
      </c>
      <c r="D38" s="102" t="s">
        <v>51</v>
      </c>
      <c r="E38" s="108"/>
      <c r="F38" s="92"/>
      <c r="G38" s="36" t="s">
        <v>50</v>
      </c>
      <c r="H38" s="82" t="s">
        <v>42</v>
      </c>
      <c r="I38" s="36">
        <v>85653</v>
      </c>
      <c r="J38" s="106">
        <f t="shared" si="0"/>
        <v>1189.6300000000001</v>
      </c>
      <c r="K38" s="102">
        <v>0.6</v>
      </c>
      <c r="L38" s="107">
        <f t="shared" si="1"/>
        <v>714</v>
      </c>
      <c r="M38" s="102"/>
      <c r="N38" s="102"/>
      <c r="O38" s="102"/>
      <c r="P38" s="102"/>
      <c r="Q38" s="77"/>
      <c r="R38" s="102"/>
      <c r="S38" s="102"/>
      <c r="T38" s="77"/>
      <c r="U38" s="107">
        <f t="shared" si="3"/>
        <v>71</v>
      </c>
      <c r="V38" s="107">
        <f t="shared" si="4"/>
        <v>785</v>
      </c>
    </row>
    <row r="39" spans="1:222" s="42" customFormat="1" ht="31.5" customHeight="1">
      <c r="A39" s="79">
        <v>20</v>
      </c>
      <c r="B39" s="37" t="s">
        <v>49</v>
      </c>
      <c r="C39" s="37" t="s">
        <v>352</v>
      </c>
      <c r="D39" s="102" t="s">
        <v>51</v>
      </c>
      <c r="E39" s="108"/>
      <c r="F39" s="92"/>
      <c r="G39" s="36" t="s">
        <v>50</v>
      </c>
      <c r="H39" s="82" t="s">
        <v>42</v>
      </c>
      <c r="I39" s="36">
        <v>85653</v>
      </c>
      <c r="J39" s="75">
        <f>I39/72</f>
        <v>1189.6300000000001</v>
      </c>
      <c r="K39" s="102">
        <v>3.8</v>
      </c>
      <c r="L39" s="107">
        <f t="shared" si="1"/>
        <v>4521</v>
      </c>
      <c r="M39" s="102"/>
      <c r="N39" s="102"/>
      <c r="O39" s="102"/>
      <c r="P39" s="102"/>
      <c r="Q39" s="77">
        <f>17697*20%/72*P39</f>
        <v>0</v>
      </c>
      <c r="R39" s="102"/>
      <c r="S39" s="102"/>
      <c r="T39" s="77"/>
      <c r="U39" s="107">
        <f t="shared" si="3"/>
        <v>452</v>
      </c>
      <c r="V39" s="107">
        <f t="shared" si="4"/>
        <v>4973</v>
      </c>
    </row>
    <row r="40" spans="1:222" s="42" customFormat="1" ht="25.5">
      <c r="A40" s="102">
        <v>21</v>
      </c>
      <c r="B40" s="37" t="s">
        <v>49</v>
      </c>
      <c r="C40" s="93" t="s">
        <v>363</v>
      </c>
      <c r="D40" s="102" t="s">
        <v>51</v>
      </c>
      <c r="E40" s="94"/>
      <c r="F40" s="94"/>
      <c r="G40" s="36" t="s">
        <v>50</v>
      </c>
      <c r="H40" s="82" t="s">
        <v>42</v>
      </c>
      <c r="I40" s="36">
        <v>85653</v>
      </c>
      <c r="J40" s="75">
        <f>I40/72</f>
        <v>1189.6300000000001</v>
      </c>
      <c r="K40" s="102">
        <f>2.4+10</f>
        <v>12.4</v>
      </c>
      <c r="L40" s="107">
        <f t="shared" si="1"/>
        <v>14751</v>
      </c>
      <c r="M40" s="102"/>
      <c r="N40" s="102"/>
      <c r="O40" s="102"/>
      <c r="P40" s="102"/>
      <c r="Q40" s="77">
        <f t="shared" si="5"/>
        <v>0</v>
      </c>
      <c r="R40" s="102"/>
      <c r="S40" s="102"/>
      <c r="T40" s="77"/>
      <c r="U40" s="107">
        <f t="shared" si="3"/>
        <v>1475</v>
      </c>
      <c r="V40" s="107">
        <f t="shared" si="4"/>
        <v>16226</v>
      </c>
    </row>
    <row r="41" spans="1:222" s="42" customFormat="1">
      <c r="A41" s="104"/>
      <c r="B41" s="104" t="s">
        <v>8</v>
      </c>
      <c r="C41" s="102"/>
      <c r="D41" s="102"/>
      <c r="E41" s="102"/>
      <c r="F41" s="102"/>
      <c r="G41" s="104"/>
      <c r="H41" s="102"/>
      <c r="I41" s="102"/>
      <c r="J41" s="75"/>
      <c r="K41" s="75">
        <f>SUM(K20:K40)</f>
        <v>198.6</v>
      </c>
      <c r="L41" s="75">
        <f>SUM(L20:L40)</f>
        <v>249957</v>
      </c>
      <c r="M41" s="75">
        <f>SUM(M20:M40)</f>
        <v>4424</v>
      </c>
      <c r="N41" s="75">
        <f>SUM(N20:N40)</f>
        <v>0</v>
      </c>
      <c r="O41" s="75"/>
      <c r="P41" s="75">
        <f t="shared" ref="P41:V41" si="6">SUM(P20:P40)</f>
        <v>82.2</v>
      </c>
      <c r="Q41" s="75">
        <f t="shared" si="6"/>
        <v>4361</v>
      </c>
      <c r="R41" s="75">
        <f t="shared" si="6"/>
        <v>0</v>
      </c>
      <c r="S41" s="75">
        <f t="shared" si="6"/>
        <v>0</v>
      </c>
      <c r="T41" s="75">
        <f t="shared" si="6"/>
        <v>0</v>
      </c>
      <c r="U41" s="75">
        <f t="shared" si="6"/>
        <v>24999</v>
      </c>
      <c r="V41" s="75">
        <f t="shared" si="6"/>
        <v>283741</v>
      </c>
    </row>
    <row r="42" spans="1:222" s="42" customFormat="1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 t="s">
        <v>213</v>
      </c>
      <c r="P42" s="96"/>
      <c r="Q42" s="96"/>
      <c r="R42" s="96"/>
      <c r="S42" s="97"/>
      <c r="T42" s="97"/>
      <c r="U42" s="98"/>
      <c r="V42" s="98"/>
    </row>
    <row r="43" spans="1:222" s="42" customFormat="1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</row>
    <row r="44" spans="1:222" s="42" customFormat="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</row>
    <row r="45" spans="1:222" s="42" customFormat="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</row>
    <row r="46" spans="1:222" s="42" customFormat="1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</row>
    <row r="47" spans="1:222" s="42" customFormat="1">
      <c r="A47" s="99" t="s">
        <v>0</v>
      </c>
      <c r="B47" s="99"/>
      <c r="C47" s="99"/>
      <c r="D47" s="99"/>
      <c r="E47" s="100"/>
      <c r="F47" s="100"/>
      <c r="G47" s="100"/>
      <c r="H47" s="100"/>
      <c r="I47" s="100"/>
      <c r="J47" s="100"/>
      <c r="K47" s="100"/>
      <c r="L47" s="100"/>
      <c r="M47" s="100"/>
      <c r="N47" s="69" t="s">
        <v>1</v>
      </c>
      <c r="O47" s="69"/>
      <c r="P47" s="69"/>
      <c r="Q47" s="69"/>
      <c r="R47" s="69"/>
      <c r="S47" s="69"/>
      <c r="T47" s="69"/>
      <c r="U47" s="70"/>
      <c r="V47" s="70"/>
    </row>
    <row r="48" spans="1:222" s="42" customFormat="1">
      <c r="A48" s="99" t="s">
        <v>2</v>
      </c>
      <c r="B48" s="99"/>
      <c r="C48" s="99"/>
      <c r="D48" s="99"/>
      <c r="E48" s="100"/>
      <c r="F48" s="100"/>
      <c r="G48" s="100"/>
      <c r="H48" s="100"/>
      <c r="I48" s="100"/>
      <c r="J48" s="100"/>
      <c r="K48" s="100"/>
      <c r="L48" s="100"/>
      <c r="M48" s="100"/>
      <c r="N48" s="69" t="s">
        <v>3</v>
      </c>
      <c r="O48" s="69"/>
      <c r="P48" s="69"/>
      <c r="Q48" s="69"/>
      <c r="R48" s="69"/>
      <c r="S48" s="69"/>
      <c r="T48" s="69"/>
      <c r="U48" s="70"/>
      <c r="V48" s="70"/>
    </row>
    <row r="49" spans="1:22" s="42" customFormat="1">
      <c r="A49" s="99"/>
      <c r="B49" s="99"/>
      <c r="C49" s="99"/>
      <c r="D49" s="99"/>
      <c r="E49" s="100"/>
      <c r="F49" s="100"/>
      <c r="G49" s="100"/>
      <c r="H49" s="100"/>
      <c r="I49" s="100"/>
      <c r="J49" s="100"/>
      <c r="K49" s="100"/>
      <c r="L49" s="100"/>
      <c r="M49" s="100"/>
      <c r="N49" s="68" t="s">
        <v>4</v>
      </c>
      <c r="O49" s="68"/>
      <c r="P49" s="68"/>
      <c r="Q49" s="68"/>
      <c r="R49" s="68"/>
      <c r="S49" s="68"/>
      <c r="T49" s="68"/>
      <c r="U49" s="70"/>
      <c r="V49" s="70"/>
    </row>
    <row r="50" spans="1:22" s="42" customFormat="1">
      <c r="A50" s="99" t="s">
        <v>5</v>
      </c>
      <c r="B50" s="99"/>
      <c r="C50" s="99" t="s">
        <v>6</v>
      </c>
      <c r="D50" s="99"/>
      <c r="E50" s="462" t="s">
        <v>183</v>
      </c>
      <c r="F50" s="462"/>
      <c r="G50" s="462"/>
      <c r="H50" s="462"/>
      <c r="I50" s="462"/>
      <c r="J50" s="462"/>
      <c r="K50" s="462"/>
      <c r="L50" s="462"/>
      <c r="M50" s="70"/>
      <c r="N50" s="69" t="s">
        <v>139</v>
      </c>
      <c r="O50" s="69"/>
      <c r="P50" s="69"/>
      <c r="Q50" s="69"/>
      <c r="R50" s="69"/>
      <c r="S50" s="69"/>
      <c r="T50" s="69"/>
      <c r="U50" s="70"/>
      <c r="V50" s="70"/>
    </row>
    <row r="51" spans="1:22" s="44" customFormat="1">
      <c r="A51" s="99"/>
      <c r="B51" s="99"/>
      <c r="C51" s="99"/>
      <c r="D51" s="99"/>
      <c r="E51" s="463" t="s">
        <v>184</v>
      </c>
      <c r="F51" s="463"/>
      <c r="G51" s="463"/>
      <c r="H51" s="463"/>
      <c r="I51" s="463"/>
      <c r="J51" s="463"/>
      <c r="K51" s="463"/>
      <c r="L51" s="463"/>
      <c r="M51" s="463"/>
      <c r="N51" s="100"/>
      <c r="O51" s="100"/>
      <c r="P51" s="100"/>
      <c r="Q51" s="100"/>
      <c r="R51" s="100"/>
      <c r="S51" s="100"/>
      <c r="T51" s="100"/>
      <c r="U51" s="100"/>
      <c r="V51" s="70"/>
    </row>
    <row r="52" spans="1:22" s="44" customFormat="1">
      <c r="A52" s="100"/>
      <c r="B52" s="100"/>
      <c r="C52" s="100"/>
      <c r="D52" s="100"/>
      <c r="E52" s="464" t="s">
        <v>219</v>
      </c>
      <c r="F52" s="464"/>
      <c r="G52" s="464"/>
      <c r="H52" s="464"/>
      <c r="I52" s="464"/>
      <c r="J52" s="464"/>
      <c r="K52" s="464"/>
      <c r="L52" s="464"/>
      <c r="M52" s="464"/>
      <c r="N52" s="100"/>
      <c r="O52" s="100"/>
      <c r="P52" s="100"/>
      <c r="Q52" s="100"/>
      <c r="R52" s="100"/>
      <c r="S52" s="100"/>
      <c r="T52" s="100"/>
      <c r="U52" s="100"/>
      <c r="V52" s="70"/>
    </row>
    <row r="53" spans="1:22" s="44" customFormat="1">
      <c r="A53" s="100"/>
      <c r="B53" s="100"/>
      <c r="C53" s="100"/>
      <c r="D53" s="100"/>
      <c r="E53" s="464" t="s">
        <v>7</v>
      </c>
      <c r="F53" s="464"/>
      <c r="G53" s="464"/>
      <c r="H53" s="464"/>
      <c r="I53" s="464"/>
      <c r="J53" s="464"/>
      <c r="K53" s="464"/>
      <c r="L53" s="464"/>
      <c r="M53" s="464"/>
      <c r="N53" s="100"/>
      <c r="O53" s="100"/>
      <c r="P53" s="100"/>
      <c r="Q53" s="100"/>
      <c r="R53" s="100"/>
      <c r="S53" s="100"/>
      <c r="T53" s="100"/>
      <c r="U53" s="100"/>
      <c r="V53" s="70"/>
    </row>
    <row r="54" spans="1:22" s="44" customFormat="1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 t="s">
        <v>185</v>
      </c>
      <c r="R54" s="100"/>
      <c r="S54" s="100"/>
      <c r="T54" s="100"/>
      <c r="U54" s="100"/>
      <c r="V54" s="70"/>
    </row>
    <row r="55" spans="1:22" s="44" customFormat="1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 t="s">
        <v>265</v>
      </c>
      <c r="R55" s="100"/>
      <c r="S55" s="100"/>
      <c r="T55" s="100"/>
      <c r="U55" s="100"/>
      <c r="V55" s="70"/>
    </row>
    <row r="56" spans="1:22" s="42" customForma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 t="s">
        <v>186</v>
      </c>
      <c r="R56" s="70"/>
      <c r="S56" s="70"/>
      <c r="T56" s="70" t="s">
        <v>340</v>
      </c>
      <c r="U56" s="70"/>
      <c r="V56" s="70"/>
    </row>
    <row r="57" spans="1:22" s="42" customForma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 t="s">
        <v>188</v>
      </c>
      <c r="R57" s="70"/>
      <c r="S57" s="70"/>
      <c r="T57" s="70">
        <v>1</v>
      </c>
      <c r="U57" s="70"/>
      <c r="V57" s="70"/>
    </row>
    <row r="58" spans="1:22" s="42" customForma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 t="s">
        <v>189</v>
      </c>
      <c r="R58" s="70"/>
      <c r="S58" s="70"/>
      <c r="T58" s="70">
        <v>19</v>
      </c>
      <c r="U58" s="70" t="s">
        <v>190</v>
      </c>
      <c r="V58" s="70"/>
    </row>
    <row r="59" spans="1:22" s="42" customForma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 t="s">
        <v>191</v>
      </c>
      <c r="R59" s="70"/>
      <c r="S59" s="70"/>
      <c r="T59" s="70">
        <v>0</v>
      </c>
      <c r="U59" s="70">
        <f>T59*100/T58</f>
        <v>0</v>
      </c>
      <c r="V59" s="70" t="s">
        <v>17</v>
      </c>
    </row>
    <row r="60" spans="1:22" s="42" customForma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 t="s">
        <v>192</v>
      </c>
      <c r="R60" s="70"/>
      <c r="S60" s="70"/>
      <c r="T60" s="70">
        <v>19</v>
      </c>
      <c r="U60" s="70">
        <f>T60*100/T58</f>
        <v>100</v>
      </c>
      <c r="V60" s="70" t="s">
        <v>17</v>
      </c>
    </row>
    <row r="61" spans="1:22" s="42" customFormat="1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 t="s">
        <v>193</v>
      </c>
      <c r="R61" s="70"/>
      <c r="S61" s="70"/>
      <c r="T61" s="324">
        <f>K82</f>
        <v>160</v>
      </c>
      <c r="U61" s="70"/>
      <c r="V61" s="70"/>
    </row>
    <row r="62" spans="1:22" s="42" customFormat="1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</row>
    <row r="63" spans="1:22" s="42" customFormat="1">
      <c r="A63" s="465" t="s">
        <v>364</v>
      </c>
      <c r="B63" s="465"/>
      <c r="C63" s="70" t="s">
        <v>341</v>
      </c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</row>
    <row r="64" spans="1:22" s="42" customFormat="1">
      <c r="A64" s="459" t="s">
        <v>195</v>
      </c>
      <c r="B64" s="459" t="s">
        <v>196</v>
      </c>
      <c r="C64" s="459" t="s">
        <v>197</v>
      </c>
      <c r="D64" s="459" t="s">
        <v>198</v>
      </c>
      <c r="E64" s="459" t="s">
        <v>10</v>
      </c>
      <c r="F64" s="459" t="s">
        <v>199</v>
      </c>
      <c r="G64" s="459" t="s">
        <v>200</v>
      </c>
      <c r="H64" s="459" t="s">
        <v>343</v>
      </c>
      <c r="I64" s="459" t="s">
        <v>202</v>
      </c>
      <c r="J64" s="459" t="s">
        <v>11</v>
      </c>
      <c r="K64" s="459" t="s">
        <v>203</v>
      </c>
      <c r="L64" s="459" t="s">
        <v>12</v>
      </c>
      <c r="M64" s="458" t="s">
        <v>204</v>
      </c>
      <c r="N64" s="458"/>
      <c r="O64" s="458"/>
      <c r="P64" s="458"/>
      <c r="Q64" s="458"/>
      <c r="R64" s="458"/>
      <c r="S64" s="458"/>
      <c r="T64" s="458"/>
      <c r="U64" s="459" t="s">
        <v>205</v>
      </c>
      <c r="V64" s="459" t="s">
        <v>206</v>
      </c>
    </row>
    <row r="65" spans="1:22" s="42" customFormat="1">
      <c r="A65" s="460"/>
      <c r="B65" s="460"/>
      <c r="C65" s="460"/>
      <c r="D65" s="460"/>
      <c r="E65" s="460"/>
      <c r="F65" s="460"/>
      <c r="G65" s="460"/>
      <c r="H65" s="460"/>
      <c r="I65" s="460"/>
      <c r="J65" s="460"/>
      <c r="K65" s="460"/>
      <c r="L65" s="460"/>
      <c r="M65" s="459" t="s">
        <v>207</v>
      </c>
      <c r="N65" s="459" t="s">
        <v>15</v>
      </c>
      <c r="O65" s="458" t="s">
        <v>16</v>
      </c>
      <c r="P65" s="458"/>
      <c r="Q65" s="458"/>
      <c r="R65" s="459"/>
      <c r="S65" s="459"/>
      <c r="T65" s="459"/>
      <c r="U65" s="460"/>
      <c r="V65" s="460"/>
    </row>
    <row r="66" spans="1:22" s="42" customFormat="1" ht="78" customHeight="1">
      <c r="A66" s="461"/>
      <c r="B66" s="461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71" t="s">
        <v>17</v>
      </c>
      <c r="P66" s="71" t="s">
        <v>18</v>
      </c>
      <c r="Q66" s="71" t="s">
        <v>19</v>
      </c>
      <c r="R66" s="461"/>
      <c r="S66" s="461"/>
      <c r="T66" s="461"/>
      <c r="U66" s="461"/>
      <c r="V66" s="461"/>
    </row>
    <row r="67" spans="1:22" s="42" customFormat="1" ht="38.25" customHeight="1">
      <c r="A67" s="102">
        <v>1</v>
      </c>
      <c r="B67" s="72"/>
      <c r="C67" s="102" t="s">
        <v>208</v>
      </c>
      <c r="D67" s="102" t="s">
        <v>51</v>
      </c>
      <c r="E67" s="102" t="s">
        <v>92</v>
      </c>
      <c r="F67" s="102" t="s">
        <v>93</v>
      </c>
      <c r="G67" s="73" t="s">
        <v>163</v>
      </c>
      <c r="H67" s="74" t="s">
        <v>25</v>
      </c>
      <c r="I67" s="74">
        <v>93971</v>
      </c>
      <c r="J67" s="75">
        <f>I67/72</f>
        <v>1305.1500000000001</v>
      </c>
      <c r="K67" s="76">
        <v>17</v>
      </c>
      <c r="L67" s="77">
        <f>J67*K67</f>
        <v>22188</v>
      </c>
      <c r="M67" s="102"/>
      <c r="N67" s="102"/>
      <c r="O67" s="102">
        <v>25</v>
      </c>
      <c r="P67" s="76">
        <v>10.199999999999999</v>
      </c>
      <c r="Q67" s="77">
        <f>17697*25%/72*P67</f>
        <v>627</v>
      </c>
      <c r="R67" s="77"/>
      <c r="S67" s="77"/>
      <c r="T67" s="77"/>
      <c r="U67" s="77">
        <f>L67*10%</f>
        <v>2219</v>
      </c>
      <c r="V67" s="77">
        <f>M67+N67+Q67+R67+T67+U67+S67+L67</f>
        <v>25034</v>
      </c>
    </row>
    <row r="68" spans="1:22" s="42" customFormat="1" ht="79.5" customHeight="1">
      <c r="A68" s="79">
        <v>2</v>
      </c>
      <c r="B68" s="80"/>
      <c r="C68" s="81" t="s">
        <v>60</v>
      </c>
      <c r="D68" s="102" t="s">
        <v>51</v>
      </c>
      <c r="E68" s="83" t="s">
        <v>61</v>
      </c>
      <c r="F68" s="80" t="s">
        <v>62</v>
      </c>
      <c r="G68" s="82" t="s">
        <v>156</v>
      </c>
      <c r="H68" s="74" t="s">
        <v>25</v>
      </c>
      <c r="I68" s="82">
        <v>89016</v>
      </c>
      <c r="J68" s="75">
        <f t="shared" ref="J68:J75" si="7">I68/72</f>
        <v>1236.33</v>
      </c>
      <c r="K68" s="76">
        <v>14</v>
      </c>
      <c r="L68" s="77">
        <f t="shared" ref="L68:L75" si="8">J68*K68</f>
        <v>17309</v>
      </c>
      <c r="M68" s="102"/>
      <c r="N68" s="102"/>
      <c r="O68" s="102">
        <v>25</v>
      </c>
      <c r="P68" s="76">
        <v>5.6</v>
      </c>
      <c r="Q68" s="77">
        <f t="shared" ref="Q68" si="9">17697*25%/72*P68</f>
        <v>344</v>
      </c>
      <c r="R68" s="102"/>
      <c r="S68" s="102"/>
      <c r="T68" s="77"/>
      <c r="U68" s="77">
        <f t="shared" ref="U68:U81" si="10">L68*10%</f>
        <v>1731</v>
      </c>
      <c r="V68" s="77">
        <f t="shared" ref="V68:V81" si="11">M68+N68+Q68+R68+T68+U68+S68+L68</f>
        <v>19384</v>
      </c>
    </row>
    <row r="69" spans="1:22" s="42" customFormat="1" ht="43.5" customHeight="1">
      <c r="A69" s="102">
        <v>3</v>
      </c>
      <c r="B69" s="37"/>
      <c r="C69" s="36" t="s">
        <v>77</v>
      </c>
      <c r="D69" s="102" t="s">
        <v>51</v>
      </c>
      <c r="E69" s="37" t="s">
        <v>228</v>
      </c>
      <c r="F69" s="37" t="s">
        <v>229</v>
      </c>
      <c r="G69" s="36" t="s">
        <v>227</v>
      </c>
      <c r="H69" s="36" t="s">
        <v>25</v>
      </c>
      <c r="I69" s="36">
        <v>85653</v>
      </c>
      <c r="J69" s="75">
        <f t="shared" si="7"/>
        <v>1189.6300000000001</v>
      </c>
      <c r="K69" s="76">
        <v>7.2</v>
      </c>
      <c r="L69" s="77">
        <f t="shared" si="8"/>
        <v>8565</v>
      </c>
      <c r="M69" s="102"/>
      <c r="N69" s="102"/>
      <c r="O69" s="102">
        <v>20</v>
      </c>
      <c r="P69" s="76">
        <v>7.2</v>
      </c>
      <c r="Q69" s="77">
        <f>17697*20%/72*P69</f>
        <v>354</v>
      </c>
      <c r="R69" s="102"/>
      <c r="S69" s="102"/>
      <c r="T69" s="77"/>
      <c r="U69" s="77">
        <f t="shared" si="10"/>
        <v>857</v>
      </c>
      <c r="V69" s="77">
        <f t="shared" si="11"/>
        <v>9776</v>
      </c>
    </row>
    <row r="70" spans="1:22" s="42" customFormat="1" ht="44.25" customHeight="1">
      <c r="A70" s="79">
        <v>4</v>
      </c>
      <c r="B70" s="73"/>
      <c r="C70" s="85" t="s">
        <v>212</v>
      </c>
      <c r="D70" s="102" t="s">
        <v>51</v>
      </c>
      <c r="E70" s="73" t="s">
        <v>68</v>
      </c>
      <c r="F70" s="73" t="s">
        <v>69</v>
      </c>
      <c r="G70" s="73" t="s">
        <v>151</v>
      </c>
      <c r="H70" s="74" t="s">
        <v>25</v>
      </c>
      <c r="I70" s="74">
        <v>93971</v>
      </c>
      <c r="J70" s="75">
        <f t="shared" si="7"/>
        <v>1305.1500000000001</v>
      </c>
      <c r="K70" s="76">
        <v>9</v>
      </c>
      <c r="L70" s="77">
        <f t="shared" si="8"/>
        <v>11746</v>
      </c>
      <c r="M70" s="102"/>
      <c r="N70" s="102"/>
      <c r="O70" s="102"/>
      <c r="P70" s="76"/>
      <c r="Q70" s="77">
        <f>17697*20%/72*P70</f>
        <v>0</v>
      </c>
      <c r="R70" s="102"/>
      <c r="S70" s="102"/>
      <c r="T70" s="77"/>
      <c r="U70" s="77">
        <f t="shared" si="10"/>
        <v>1175</v>
      </c>
      <c r="V70" s="77">
        <f t="shared" si="11"/>
        <v>12921</v>
      </c>
    </row>
    <row r="71" spans="1:22" s="42" customFormat="1" ht="89.25">
      <c r="A71" s="102">
        <v>5</v>
      </c>
      <c r="B71" s="37"/>
      <c r="C71" s="37" t="s">
        <v>224</v>
      </c>
      <c r="D71" s="102" t="s">
        <v>51</v>
      </c>
      <c r="E71" s="37" t="s">
        <v>220</v>
      </c>
      <c r="F71" s="37" t="s">
        <v>221</v>
      </c>
      <c r="G71" s="37" t="s">
        <v>146</v>
      </c>
      <c r="H71" s="86" t="s">
        <v>25</v>
      </c>
      <c r="I71" s="94">
        <v>80875</v>
      </c>
      <c r="J71" s="75">
        <f t="shared" si="7"/>
        <v>1123.26</v>
      </c>
      <c r="K71" s="76">
        <f>3.8+7.2</f>
        <v>11</v>
      </c>
      <c r="L71" s="77">
        <f t="shared" si="8"/>
        <v>12356</v>
      </c>
      <c r="M71" s="102"/>
      <c r="N71" s="102"/>
      <c r="O71" s="102"/>
      <c r="P71" s="102"/>
      <c r="Q71" s="77">
        <f t="shared" ref="Q71:Q81" si="12">17697*20%/72*P71</f>
        <v>0</v>
      </c>
      <c r="R71" s="102"/>
      <c r="S71" s="102"/>
      <c r="T71" s="77"/>
      <c r="U71" s="77">
        <f t="shared" si="10"/>
        <v>1236</v>
      </c>
      <c r="V71" s="77">
        <f t="shared" si="11"/>
        <v>13592</v>
      </c>
    </row>
    <row r="72" spans="1:22" s="42" customFormat="1" ht="39" customHeight="1">
      <c r="A72" s="79">
        <v>6</v>
      </c>
      <c r="B72" s="73"/>
      <c r="C72" s="85" t="s">
        <v>117</v>
      </c>
      <c r="D72" s="102" t="s">
        <v>51</v>
      </c>
      <c r="E72" s="73" t="s">
        <v>111</v>
      </c>
      <c r="F72" s="73" t="s">
        <v>118</v>
      </c>
      <c r="G72" s="73" t="s">
        <v>171</v>
      </c>
      <c r="H72" s="74" t="s">
        <v>25</v>
      </c>
      <c r="I72" s="74">
        <v>92201</v>
      </c>
      <c r="J72" s="75">
        <f t="shared" si="7"/>
        <v>1280.57</v>
      </c>
      <c r="K72" s="76">
        <v>15.6</v>
      </c>
      <c r="L72" s="77">
        <f t="shared" si="8"/>
        <v>19977</v>
      </c>
      <c r="M72" s="102"/>
      <c r="N72" s="102"/>
      <c r="O72" s="102">
        <v>20</v>
      </c>
      <c r="P72" s="102">
        <v>15.6</v>
      </c>
      <c r="Q72" s="77">
        <f t="shared" si="12"/>
        <v>767</v>
      </c>
      <c r="R72" s="102"/>
      <c r="S72" s="102"/>
      <c r="T72" s="77"/>
      <c r="U72" s="77">
        <f t="shared" si="10"/>
        <v>1998</v>
      </c>
      <c r="V72" s="77">
        <f t="shared" si="11"/>
        <v>22742</v>
      </c>
    </row>
    <row r="73" spans="1:22" s="42" customFormat="1" ht="46.5" customHeight="1">
      <c r="A73" s="102">
        <v>7</v>
      </c>
      <c r="B73" s="94"/>
      <c r="C73" s="94" t="s">
        <v>210</v>
      </c>
      <c r="D73" s="102" t="s">
        <v>51</v>
      </c>
      <c r="E73" s="94" t="s">
        <v>225</v>
      </c>
      <c r="F73" s="94" t="s">
        <v>226</v>
      </c>
      <c r="G73" s="108" t="s">
        <v>147</v>
      </c>
      <c r="H73" s="86" t="s">
        <v>25</v>
      </c>
      <c r="I73" s="94">
        <v>89016</v>
      </c>
      <c r="J73" s="75">
        <f t="shared" si="7"/>
        <v>1236.33</v>
      </c>
      <c r="K73" s="76">
        <v>7.6</v>
      </c>
      <c r="L73" s="77">
        <f t="shared" si="8"/>
        <v>9396</v>
      </c>
      <c r="M73" s="102"/>
      <c r="N73" s="102"/>
      <c r="O73" s="102"/>
      <c r="P73" s="76"/>
      <c r="Q73" s="77">
        <f t="shared" si="12"/>
        <v>0</v>
      </c>
      <c r="R73" s="102"/>
      <c r="S73" s="102"/>
      <c r="T73" s="77"/>
      <c r="U73" s="77">
        <f t="shared" si="10"/>
        <v>940</v>
      </c>
      <c r="V73" s="77">
        <f t="shared" si="11"/>
        <v>10336</v>
      </c>
    </row>
    <row r="74" spans="1:22" s="42" customFormat="1" ht="45" customHeight="1">
      <c r="A74" s="79">
        <v>8</v>
      </c>
      <c r="B74" s="83"/>
      <c r="C74" s="80" t="s">
        <v>110</v>
      </c>
      <c r="D74" s="102" t="s">
        <v>51</v>
      </c>
      <c r="E74" s="80" t="s">
        <v>111</v>
      </c>
      <c r="F74" s="80" t="s">
        <v>112</v>
      </c>
      <c r="G74" s="80" t="s">
        <v>169</v>
      </c>
      <c r="H74" s="82" t="s">
        <v>25</v>
      </c>
      <c r="I74" s="82">
        <v>92201</v>
      </c>
      <c r="J74" s="75">
        <f t="shared" si="7"/>
        <v>1280.57</v>
      </c>
      <c r="K74" s="102">
        <v>14.6</v>
      </c>
      <c r="L74" s="77">
        <f t="shared" si="8"/>
        <v>18696</v>
      </c>
      <c r="M74" s="102"/>
      <c r="N74" s="102"/>
      <c r="O74" s="102">
        <v>20</v>
      </c>
      <c r="P74" s="102">
        <v>14.6</v>
      </c>
      <c r="Q74" s="77">
        <f t="shared" si="12"/>
        <v>718</v>
      </c>
      <c r="R74" s="102"/>
      <c r="S74" s="102"/>
      <c r="T74" s="77"/>
      <c r="U74" s="77">
        <f t="shared" si="10"/>
        <v>1870</v>
      </c>
      <c r="V74" s="77">
        <f t="shared" si="11"/>
        <v>21284</v>
      </c>
    </row>
    <row r="75" spans="1:22" s="42" customFormat="1" ht="33" customHeight="1">
      <c r="A75" s="102">
        <v>9</v>
      </c>
      <c r="B75" s="80"/>
      <c r="C75" s="81" t="s">
        <v>239</v>
      </c>
      <c r="D75" s="102" t="s">
        <v>51</v>
      </c>
      <c r="E75" s="37" t="s">
        <v>90</v>
      </c>
      <c r="F75" s="80" t="s">
        <v>91</v>
      </c>
      <c r="G75" s="80" t="s">
        <v>162</v>
      </c>
      <c r="H75" s="74" t="s">
        <v>25</v>
      </c>
      <c r="I75" s="82">
        <v>92201</v>
      </c>
      <c r="J75" s="75">
        <f t="shared" si="7"/>
        <v>1280.57</v>
      </c>
      <c r="K75" s="76">
        <f>11.6+5.4</f>
        <v>17</v>
      </c>
      <c r="L75" s="77">
        <f t="shared" si="8"/>
        <v>21770</v>
      </c>
      <c r="M75" s="102"/>
      <c r="N75" s="102"/>
      <c r="O75" s="102">
        <v>20</v>
      </c>
      <c r="P75" s="102">
        <v>11.6</v>
      </c>
      <c r="Q75" s="77">
        <f t="shared" si="12"/>
        <v>570</v>
      </c>
      <c r="R75" s="102"/>
      <c r="S75" s="102"/>
      <c r="T75" s="77"/>
      <c r="U75" s="77">
        <f t="shared" si="10"/>
        <v>2177</v>
      </c>
      <c r="V75" s="77">
        <f t="shared" si="11"/>
        <v>24517</v>
      </c>
    </row>
    <row r="76" spans="1:22" s="42" customFormat="1" ht="42" customHeight="1">
      <c r="A76" s="79">
        <v>10</v>
      </c>
      <c r="B76" s="37"/>
      <c r="C76" s="80" t="s">
        <v>366</v>
      </c>
      <c r="D76" s="102" t="s">
        <v>51</v>
      </c>
      <c r="E76" s="80" t="s">
        <v>63</v>
      </c>
      <c r="F76" s="80" t="s">
        <v>64</v>
      </c>
      <c r="G76" s="80" t="s">
        <v>157</v>
      </c>
      <c r="H76" s="82" t="s">
        <v>25</v>
      </c>
      <c r="I76" s="82">
        <v>90609</v>
      </c>
      <c r="J76" s="75">
        <f>I76/72</f>
        <v>1258.46</v>
      </c>
      <c r="K76" s="102">
        <f>3.6+2+0.6</f>
        <v>6.2</v>
      </c>
      <c r="L76" s="77">
        <f>J76*K76</f>
        <v>7802</v>
      </c>
      <c r="M76" s="102"/>
      <c r="N76" s="102"/>
      <c r="O76" s="102"/>
      <c r="P76" s="76"/>
      <c r="Q76" s="77">
        <f>17697*20%/72*P76</f>
        <v>0</v>
      </c>
      <c r="R76" s="102"/>
      <c r="S76" s="102"/>
      <c r="T76" s="77"/>
      <c r="U76" s="77">
        <f t="shared" si="10"/>
        <v>780</v>
      </c>
      <c r="V76" s="77">
        <f t="shared" si="11"/>
        <v>8582</v>
      </c>
    </row>
    <row r="77" spans="1:22" s="42" customFormat="1" ht="31.5" customHeight="1">
      <c r="A77" s="102">
        <v>11</v>
      </c>
      <c r="B77" s="80"/>
      <c r="C77" s="80" t="s">
        <v>100</v>
      </c>
      <c r="D77" s="102" t="s">
        <v>51</v>
      </c>
      <c r="E77" s="80" t="s">
        <v>115</v>
      </c>
      <c r="F77" s="80" t="s">
        <v>116</v>
      </c>
      <c r="G77" s="80" t="s">
        <v>89</v>
      </c>
      <c r="H77" s="74" t="s">
        <v>25</v>
      </c>
      <c r="I77" s="82">
        <v>93971</v>
      </c>
      <c r="J77" s="109">
        <f>I77/72</f>
        <v>1305.1500000000001</v>
      </c>
      <c r="K77" s="102">
        <v>15.2</v>
      </c>
      <c r="L77" s="77">
        <f>J77*K77</f>
        <v>19838</v>
      </c>
      <c r="M77" s="102"/>
      <c r="N77" s="102"/>
      <c r="O77" s="102"/>
      <c r="P77" s="102"/>
      <c r="Q77" s="77">
        <f>17697*20%/72*P77</f>
        <v>0</v>
      </c>
      <c r="R77" s="102"/>
      <c r="S77" s="102"/>
      <c r="T77" s="77"/>
      <c r="U77" s="77">
        <f t="shared" si="10"/>
        <v>1984</v>
      </c>
      <c r="V77" s="77">
        <f t="shared" si="11"/>
        <v>21822</v>
      </c>
    </row>
    <row r="78" spans="1:22" s="42" customFormat="1" ht="51">
      <c r="A78" s="79">
        <v>12</v>
      </c>
      <c r="B78" s="37"/>
      <c r="C78" s="81" t="s">
        <v>45</v>
      </c>
      <c r="D78" s="102" t="s">
        <v>51</v>
      </c>
      <c r="E78" s="37" t="s">
        <v>46</v>
      </c>
      <c r="F78" s="80" t="s">
        <v>47</v>
      </c>
      <c r="G78" s="80" t="s">
        <v>178</v>
      </c>
      <c r="H78" s="82" t="s">
        <v>25</v>
      </c>
      <c r="I78" s="82">
        <v>93971</v>
      </c>
      <c r="J78" s="75">
        <f>I78/72</f>
        <v>1305.1500000000001</v>
      </c>
      <c r="K78" s="102">
        <v>5</v>
      </c>
      <c r="L78" s="77">
        <f>J78*K78</f>
        <v>6526</v>
      </c>
      <c r="M78" s="102"/>
      <c r="N78" s="102"/>
      <c r="O78" s="102"/>
      <c r="P78" s="102"/>
      <c r="Q78" s="77">
        <f>17697*20%/72*P78</f>
        <v>0</v>
      </c>
      <c r="R78" s="102"/>
      <c r="S78" s="102"/>
      <c r="T78" s="77"/>
      <c r="U78" s="77">
        <f t="shared" si="10"/>
        <v>653</v>
      </c>
      <c r="V78" s="77">
        <f t="shared" si="11"/>
        <v>7179</v>
      </c>
    </row>
    <row r="79" spans="1:22" s="42" customFormat="1">
      <c r="A79" s="102">
        <v>13</v>
      </c>
      <c r="B79" s="80"/>
      <c r="C79" s="334" t="s">
        <v>493</v>
      </c>
      <c r="D79" s="102" t="s">
        <v>51</v>
      </c>
      <c r="E79" s="37"/>
      <c r="F79" s="80"/>
      <c r="G79" s="80"/>
      <c r="H79" s="82"/>
      <c r="I79" s="82"/>
      <c r="J79" s="75"/>
      <c r="K79" s="102"/>
      <c r="L79" s="77"/>
      <c r="M79" s="102">
        <v>4424</v>
      </c>
      <c r="N79" s="102"/>
      <c r="O79" s="102"/>
      <c r="P79" s="102"/>
      <c r="Q79" s="77"/>
      <c r="R79" s="102"/>
      <c r="S79" s="102"/>
      <c r="T79" s="77"/>
      <c r="U79" s="77"/>
      <c r="V79" s="77">
        <f t="shared" si="11"/>
        <v>4424</v>
      </c>
    </row>
    <row r="80" spans="1:22" s="42" customFormat="1" ht="25.5">
      <c r="A80" s="79">
        <v>14</v>
      </c>
      <c r="B80" s="80" t="s">
        <v>49</v>
      </c>
      <c r="C80" s="80" t="s">
        <v>365</v>
      </c>
      <c r="D80" s="102" t="s">
        <v>51</v>
      </c>
      <c r="E80" s="37"/>
      <c r="F80" s="36" t="s">
        <v>50</v>
      </c>
      <c r="G80" s="361" t="s">
        <v>538</v>
      </c>
      <c r="H80" s="74" t="s">
        <v>25</v>
      </c>
      <c r="I80" s="36">
        <v>85653</v>
      </c>
      <c r="J80" s="75">
        <f t="shared" ref="J80:J81" si="13">I80/72</f>
        <v>1189.6300000000001</v>
      </c>
      <c r="K80" s="102">
        <v>3.4</v>
      </c>
      <c r="L80" s="77">
        <f t="shared" ref="L80:L81" si="14">J80*K80</f>
        <v>4045</v>
      </c>
      <c r="M80" s="102"/>
      <c r="N80" s="102"/>
      <c r="O80" s="102"/>
      <c r="P80" s="102"/>
      <c r="Q80" s="77"/>
      <c r="R80" s="102"/>
      <c r="S80" s="102"/>
      <c r="T80" s="77"/>
      <c r="U80" s="77">
        <f t="shared" si="10"/>
        <v>405</v>
      </c>
      <c r="V80" s="77">
        <f t="shared" si="11"/>
        <v>4450</v>
      </c>
    </row>
    <row r="81" spans="1:22" s="42" customFormat="1" ht="25.5">
      <c r="A81" s="102">
        <v>15</v>
      </c>
      <c r="B81" s="37" t="s">
        <v>49</v>
      </c>
      <c r="C81" s="93" t="s">
        <v>367</v>
      </c>
      <c r="D81" s="102" t="s">
        <v>51</v>
      </c>
      <c r="E81" s="94"/>
      <c r="F81" s="36" t="s">
        <v>50</v>
      </c>
      <c r="G81" s="36" t="s">
        <v>50</v>
      </c>
      <c r="H81" s="82" t="s">
        <v>348</v>
      </c>
      <c r="I81" s="82">
        <v>85653</v>
      </c>
      <c r="J81" s="75">
        <f t="shared" si="13"/>
        <v>1189.6300000000001</v>
      </c>
      <c r="K81" s="102">
        <f>7.2+10</f>
        <v>17.2</v>
      </c>
      <c r="L81" s="77">
        <f t="shared" si="14"/>
        <v>20462</v>
      </c>
      <c r="M81" s="102"/>
      <c r="N81" s="102"/>
      <c r="O81" s="102"/>
      <c r="P81" s="102"/>
      <c r="Q81" s="77">
        <f t="shared" si="12"/>
        <v>0</v>
      </c>
      <c r="R81" s="102"/>
      <c r="S81" s="102"/>
      <c r="T81" s="77"/>
      <c r="U81" s="77">
        <f t="shared" si="10"/>
        <v>2046</v>
      </c>
      <c r="V81" s="77">
        <f t="shared" si="11"/>
        <v>22508</v>
      </c>
    </row>
    <row r="82" spans="1:22" s="42" customFormat="1">
      <c r="A82" s="104"/>
      <c r="B82" s="104" t="s">
        <v>8</v>
      </c>
      <c r="C82" s="102"/>
      <c r="D82" s="102"/>
      <c r="E82" s="102"/>
      <c r="F82" s="102"/>
      <c r="G82" s="104"/>
      <c r="H82" s="102"/>
      <c r="I82" s="102"/>
      <c r="J82" s="75"/>
      <c r="K82" s="76">
        <f>SUM(K67:K81)</f>
        <v>160</v>
      </c>
      <c r="L82" s="76">
        <f t="shared" ref="L82:V82" si="15">SUM(L67:L81)</f>
        <v>200676</v>
      </c>
      <c r="M82" s="76">
        <f t="shared" si="15"/>
        <v>4424</v>
      </c>
      <c r="N82" s="76">
        <f t="shared" si="15"/>
        <v>0</v>
      </c>
      <c r="O82" s="76"/>
      <c r="P82" s="76">
        <f t="shared" si="15"/>
        <v>64.8</v>
      </c>
      <c r="Q82" s="76">
        <f t="shared" si="15"/>
        <v>3380</v>
      </c>
      <c r="R82" s="76">
        <f t="shared" si="15"/>
        <v>0</v>
      </c>
      <c r="S82" s="76">
        <f t="shared" si="15"/>
        <v>0</v>
      </c>
      <c r="T82" s="76">
        <f t="shared" si="15"/>
        <v>0</v>
      </c>
      <c r="U82" s="76">
        <f t="shared" si="15"/>
        <v>20071</v>
      </c>
      <c r="V82" s="76">
        <f t="shared" si="15"/>
        <v>228551</v>
      </c>
    </row>
    <row r="83" spans="1:22" s="42" customFormat="1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6" t="s">
        <v>213</v>
      </c>
      <c r="P83" s="96"/>
      <c r="Q83" s="96"/>
      <c r="R83" s="96"/>
      <c r="S83" s="97"/>
      <c r="T83" s="97"/>
      <c r="U83" s="98"/>
      <c r="V83" s="98"/>
    </row>
    <row r="84" spans="1:22" s="42" customForma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</row>
    <row r="85" spans="1:22" s="42" customForma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</row>
    <row r="86" spans="1:22" s="42" customFormat="1">
      <c r="A86" s="99" t="s">
        <v>0</v>
      </c>
      <c r="B86" s="99"/>
      <c r="C86" s="99"/>
      <c r="D86" s="99"/>
      <c r="E86" s="100"/>
      <c r="F86" s="100"/>
      <c r="G86" s="100"/>
      <c r="H86" s="100"/>
      <c r="I86" s="100"/>
      <c r="J86" s="100"/>
      <c r="K86" s="100"/>
      <c r="L86" s="100"/>
      <c r="M86" s="100"/>
      <c r="N86" s="69" t="s">
        <v>1</v>
      </c>
      <c r="O86" s="69"/>
      <c r="P86" s="69"/>
      <c r="Q86" s="69"/>
      <c r="R86" s="69"/>
      <c r="S86" s="69"/>
      <c r="T86" s="69"/>
      <c r="U86" s="70"/>
      <c r="V86" s="70"/>
    </row>
    <row r="87" spans="1:22" s="42" customFormat="1">
      <c r="A87" s="99" t="s">
        <v>2</v>
      </c>
      <c r="B87" s="99"/>
      <c r="C87" s="99"/>
      <c r="D87" s="99"/>
      <c r="E87" s="100"/>
      <c r="F87" s="100"/>
      <c r="G87" s="100"/>
      <c r="H87" s="100"/>
      <c r="I87" s="100"/>
      <c r="J87" s="100"/>
      <c r="K87" s="100"/>
      <c r="L87" s="100"/>
      <c r="M87" s="100"/>
      <c r="N87" s="69" t="s">
        <v>3</v>
      </c>
      <c r="O87" s="69"/>
      <c r="P87" s="69"/>
      <c r="Q87" s="69"/>
      <c r="R87" s="69"/>
      <c r="S87" s="69"/>
      <c r="T87" s="69"/>
      <c r="U87" s="70"/>
      <c r="V87" s="70"/>
    </row>
    <row r="88" spans="1:22" s="42" customFormat="1">
      <c r="A88" s="99"/>
      <c r="B88" s="99"/>
      <c r="C88" s="99"/>
      <c r="D88" s="99"/>
      <c r="E88" s="100"/>
      <c r="F88" s="100"/>
      <c r="G88" s="100"/>
      <c r="H88" s="100"/>
      <c r="I88" s="100"/>
      <c r="J88" s="100"/>
      <c r="K88" s="100"/>
      <c r="L88" s="100"/>
      <c r="M88" s="100"/>
      <c r="N88" s="68" t="s">
        <v>4</v>
      </c>
      <c r="O88" s="68"/>
      <c r="P88" s="68"/>
      <c r="Q88" s="68"/>
      <c r="R88" s="68"/>
      <c r="S88" s="68"/>
      <c r="T88" s="68"/>
      <c r="U88" s="70"/>
      <c r="V88" s="70"/>
    </row>
    <row r="89" spans="1:22" s="42" customFormat="1">
      <c r="A89" s="99" t="s">
        <v>5</v>
      </c>
      <c r="B89" s="99"/>
      <c r="C89" s="99" t="s">
        <v>6</v>
      </c>
      <c r="D89" s="99"/>
      <c r="E89" s="462" t="s">
        <v>183</v>
      </c>
      <c r="F89" s="462"/>
      <c r="G89" s="462"/>
      <c r="H89" s="462"/>
      <c r="I89" s="462"/>
      <c r="J89" s="462"/>
      <c r="K89" s="462"/>
      <c r="L89" s="462"/>
      <c r="M89" s="70"/>
      <c r="N89" s="69" t="s">
        <v>139</v>
      </c>
      <c r="O89" s="69"/>
      <c r="P89" s="69"/>
      <c r="Q89" s="69"/>
      <c r="R89" s="69"/>
      <c r="S89" s="69"/>
      <c r="T89" s="69"/>
      <c r="U89" s="70"/>
      <c r="V89" s="70"/>
    </row>
    <row r="90" spans="1:22" s="44" customFormat="1">
      <c r="A90" s="99"/>
      <c r="B90" s="99"/>
      <c r="C90" s="99"/>
      <c r="D90" s="99"/>
      <c r="E90" s="463" t="s">
        <v>184</v>
      </c>
      <c r="F90" s="463"/>
      <c r="G90" s="463"/>
      <c r="H90" s="463"/>
      <c r="I90" s="463"/>
      <c r="J90" s="463"/>
      <c r="K90" s="463"/>
      <c r="L90" s="463"/>
      <c r="M90" s="463"/>
      <c r="N90" s="100"/>
      <c r="O90" s="100"/>
      <c r="P90" s="100"/>
      <c r="Q90" s="100"/>
      <c r="R90" s="100"/>
      <c r="S90" s="100"/>
      <c r="T90" s="100"/>
      <c r="U90" s="100"/>
      <c r="V90" s="70"/>
    </row>
    <row r="91" spans="1:22" s="44" customFormat="1">
      <c r="A91" s="100"/>
      <c r="B91" s="100"/>
      <c r="C91" s="100"/>
      <c r="D91" s="100"/>
      <c r="E91" s="464" t="s">
        <v>219</v>
      </c>
      <c r="F91" s="464"/>
      <c r="G91" s="464"/>
      <c r="H91" s="464"/>
      <c r="I91" s="464"/>
      <c r="J91" s="464"/>
      <c r="K91" s="464"/>
      <c r="L91" s="464"/>
      <c r="M91" s="464"/>
      <c r="N91" s="100"/>
      <c r="O91" s="100"/>
      <c r="P91" s="100"/>
      <c r="Q91" s="100"/>
      <c r="R91" s="100"/>
      <c r="S91" s="100"/>
      <c r="T91" s="100"/>
      <c r="U91" s="100"/>
      <c r="V91" s="70"/>
    </row>
    <row r="92" spans="1:22" s="44" customFormat="1">
      <c r="A92" s="100"/>
      <c r="B92" s="100"/>
      <c r="C92" s="100"/>
      <c r="D92" s="100"/>
      <c r="E92" s="464" t="s">
        <v>7</v>
      </c>
      <c r="F92" s="464"/>
      <c r="G92" s="464"/>
      <c r="H92" s="464"/>
      <c r="I92" s="464"/>
      <c r="J92" s="464"/>
      <c r="K92" s="464"/>
      <c r="L92" s="464"/>
      <c r="M92" s="464"/>
      <c r="N92" s="100"/>
      <c r="O92" s="100"/>
      <c r="P92" s="100"/>
      <c r="Q92" s="100"/>
      <c r="R92" s="100"/>
      <c r="S92" s="100"/>
      <c r="T92" s="100"/>
      <c r="U92" s="100"/>
      <c r="V92" s="70"/>
    </row>
    <row r="93" spans="1:22" s="44" customFormat="1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 t="s">
        <v>185</v>
      </c>
      <c r="R93" s="100"/>
      <c r="S93" s="100"/>
      <c r="T93" s="100"/>
      <c r="U93" s="100"/>
      <c r="V93" s="70"/>
    </row>
    <row r="94" spans="1:22" s="44" customFormat="1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 t="s">
        <v>265</v>
      </c>
      <c r="R94" s="100"/>
      <c r="S94" s="100"/>
      <c r="T94" s="100"/>
      <c r="U94" s="100"/>
      <c r="V94" s="70"/>
    </row>
    <row r="95" spans="1:22" s="42" customForma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 t="s">
        <v>186</v>
      </c>
      <c r="R95" s="70"/>
      <c r="S95" s="70"/>
      <c r="T95" s="70" t="s">
        <v>340</v>
      </c>
      <c r="U95" s="70"/>
      <c r="V95" s="70"/>
    </row>
    <row r="96" spans="1:22" s="42" customForma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 t="s">
        <v>188</v>
      </c>
      <c r="R96" s="70"/>
      <c r="S96" s="70"/>
      <c r="T96" s="70">
        <v>2</v>
      </c>
      <c r="U96" s="70"/>
      <c r="V96" s="70"/>
    </row>
    <row r="97" spans="1:22" s="42" customForma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 t="s">
        <v>189</v>
      </c>
      <c r="R97" s="70"/>
      <c r="S97" s="70"/>
      <c r="T97" s="70">
        <v>26</v>
      </c>
      <c r="U97" s="70" t="s">
        <v>190</v>
      </c>
      <c r="V97" s="70"/>
    </row>
    <row r="98" spans="1:22" s="42" customForma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 t="s">
        <v>191</v>
      </c>
      <c r="R98" s="70"/>
      <c r="S98" s="70"/>
      <c r="T98" s="70">
        <v>26</v>
      </c>
      <c r="U98" s="70">
        <f>T98*100/T97</f>
        <v>100</v>
      </c>
      <c r="V98" s="70" t="s">
        <v>17</v>
      </c>
    </row>
    <row r="99" spans="1:22" s="42" customForma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 t="s">
        <v>192</v>
      </c>
      <c r="R99" s="70"/>
      <c r="S99" s="70"/>
      <c r="T99" s="70">
        <v>0</v>
      </c>
      <c r="U99" s="70">
        <f>T99*100/T97</f>
        <v>0</v>
      </c>
      <c r="V99" s="70" t="s">
        <v>17</v>
      </c>
    </row>
    <row r="100" spans="1:22" s="42" customForma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 t="s">
        <v>193</v>
      </c>
      <c r="R100" s="70"/>
      <c r="S100" s="70"/>
      <c r="T100" s="324">
        <f>K127</f>
        <v>191.6</v>
      </c>
      <c r="U100" s="70"/>
      <c r="V100" s="70"/>
    </row>
    <row r="101" spans="1:22" s="42" customForma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</row>
    <row r="102" spans="1:22" s="42" customFormat="1">
      <c r="A102" s="70"/>
      <c r="B102" s="70" t="s">
        <v>368</v>
      </c>
      <c r="C102" s="70" t="s">
        <v>341</v>
      </c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</row>
    <row r="103" spans="1:22" s="42" customFormat="1">
      <c r="A103" s="459" t="s">
        <v>195</v>
      </c>
      <c r="B103" s="459" t="s">
        <v>196</v>
      </c>
      <c r="C103" s="459" t="s">
        <v>197</v>
      </c>
      <c r="D103" s="459" t="s">
        <v>198</v>
      </c>
      <c r="E103" s="459" t="s">
        <v>10</v>
      </c>
      <c r="F103" s="459" t="s">
        <v>199</v>
      </c>
      <c r="G103" s="459" t="s">
        <v>200</v>
      </c>
      <c r="H103" s="459" t="s">
        <v>201</v>
      </c>
      <c r="I103" s="459" t="s">
        <v>202</v>
      </c>
      <c r="J103" s="459" t="s">
        <v>11</v>
      </c>
      <c r="K103" s="459" t="s">
        <v>203</v>
      </c>
      <c r="L103" s="459" t="s">
        <v>12</v>
      </c>
      <c r="M103" s="458" t="s">
        <v>204</v>
      </c>
      <c r="N103" s="458"/>
      <c r="O103" s="458"/>
      <c r="P103" s="458"/>
      <c r="Q103" s="458"/>
      <c r="R103" s="458"/>
      <c r="S103" s="458"/>
      <c r="T103" s="458"/>
      <c r="U103" s="459" t="s">
        <v>205</v>
      </c>
      <c r="V103" s="459" t="s">
        <v>206</v>
      </c>
    </row>
    <row r="104" spans="1:22" s="42" customFormat="1">
      <c r="A104" s="460"/>
      <c r="B104" s="460"/>
      <c r="C104" s="460"/>
      <c r="D104" s="460"/>
      <c r="E104" s="460"/>
      <c r="F104" s="460"/>
      <c r="G104" s="460"/>
      <c r="H104" s="460"/>
      <c r="I104" s="460"/>
      <c r="J104" s="460"/>
      <c r="K104" s="460"/>
      <c r="L104" s="460"/>
      <c r="M104" s="459" t="s">
        <v>207</v>
      </c>
      <c r="N104" s="459" t="s">
        <v>15</v>
      </c>
      <c r="O104" s="458" t="s">
        <v>16</v>
      </c>
      <c r="P104" s="458"/>
      <c r="Q104" s="458"/>
      <c r="R104" s="459" t="s">
        <v>215</v>
      </c>
      <c r="S104" s="459" t="s">
        <v>216</v>
      </c>
      <c r="T104" s="459" t="s">
        <v>217</v>
      </c>
      <c r="U104" s="460"/>
      <c r="V104" s="460"/>
    </row>
    <row r="105" spans="1:22" s="42" customFormat="1" ht="84.75" customHeight="1">
      <c r="A105" s="461"/>
      <c r="B105" s="461"/>
      <c r="C105" s="461"/>
      <c r="D105" s="461"/>
      <c r="E105" s="461"/>
      <c r="F105" s="461"/>
      <c r="G105" s="461"/>
      <c r="H105" s="461"/>
      <c r="I105" s="461"/>
      <c r="J105" s="461"/>
      <c r="K105" s="461"/>
      <c r="L105" s="461"/>
      <c r="M105" s="461"/>
      <c r="N105" s="461"/>
      <c r="O105" s="71" t="s">
        <v>17</v>
      </c>
      <c r="P105" s="71" t="s">
        <v>18</v>
      </c>
      <c r="Q105" s="71" t="s">
        <v>19</v>
      </c>
      <c r="R105" s="461"/>
      <c r="S105" s="461"/>
      <c r="T105" s="461"/>
      <c r="U105" s="461"/>
      <c r="V105" s="461"/>
    </row>
    <row r="106" spans="1:22" s="42" customFormat="1" ht="81" customHeight="1">
      <c r="A106" s="102">
        <v>1</v>
      </c>
      <c r="B106" s="80"/>
      <c r="C106" s="81" t="s">
        <v>60</v>
      </c>
      <c r="D106" s="102" t="s">
        <v>51</v>
      </c>
      <c r="E106" s="83" t="s">
        <v>61</v>
      </c>
      <c r="F106" s="80" t="s">
        <v>62</v>
      </c>
      <c r="G106" s="82" t="s">
        <v>156</v>
      </c>
      <c r="H106" s="74" t="s">
        <v>25</v>
      </c>
      <c r="I106" s="82">
        <v>89016</v>
      </c>
      <c r="J106" s="75">
        <f>I106/72</f>
        <v>1236.33</v>
      </c>
      <c r="K106" s="76">
        <v>3</v>
      </c>
      <c r="L106" s="77">
        <f>J106*K106</f>
        <v>3709</v>
      </c>
      <c r="M106" s="102"/>
      <c r="N106" s="102"/>
      <c r="O106" s="102">
        <v>25</v>
      </c>
      <c r="P106" s="76">
        <v>1.2</v>
      </c>
      <c r="Q106" s="77">
        <f>17697*25%/72*P106</f>
        <v>74</v>
      </c>
      <c r="R106" s="77"/>
      <c r="S106" s="77"/>
      <c r="T106" s="77"/>
      <c r="U106" s="77">
        <f>L106*10%</f>
        <v>371</v>
      </c>
      <c r="V106" s="77">
        <f>M106+N106+Q106+R106+T106+U106+S106+L106</f>
        <v>4154</v>
      </c>
    </row>
    <row r="107" spans="1:22" s="42" customFormat="1" ht="45.75" customHeight="1">
      <c r="A107" s="79">
        <v>2</v>
      </c>
      <c r="B107" s="73"/>
      <c r="C107" s="122" t="s">
        <v>28</v>
      </c>
      <c r="D107" s="102" t="s">
        <v>51</v>
      </c>
      <c r="E107" s="73" t="s">
        <v>29</v>
      </c>
      <c r="F107" s="73" t="s">
        <v>30</v>
      </c>
      <c r="G107" s="73" t="s">
        <v>134</v>
      </c>
      <c r="H107" s="74" t="s">
        <v>25</v>
      </c>
      <c r="I107" s="74">
        <v>85653</v>
      </c>
      <c r="J107" s="75">
        <f t="shared" ref="J107:J126" si="16">I107/72</f>
        <v>1189.6300000000001</v>
      </c>
      <c r="K107" s="76">
        <v>5</v>
      </c>
      <c r="L107" s="77">
        <f t="shared" ref="L107:L126" si="17">J107*K107</f>
        <v>5948</v>
      </c>
      <c r="M107" s="102"/>
      <c r="N107" s="102"/>
      <c r="O107" s="102"/>
      <c r="P107" s="76"/>
      <c r="Q107" s="77">
        <f t="shared" ref="Q107" si="18">17697*25%/72*P107</f>
        <v>0</v>
      </c>
      <c r="R107" s="102"/>
      <c r="S107" s="102"/>
      <c r="T107" s="77"/>
      <c r="U107" s="77">
        <f t="shared" ref="U107:U124" si="19">L107*10%</f>
        <v>595</v>
      </c>
      <c r="V107" s="77">
        <f t="shared" ref="V107:V124" si="20">M107+N107+Q107+R107+T107+U107+S107+L107</f>
        <v>6543</v>
      </c>
    </row>
    <row r="108" spans="1:22" s="51" customFormat="1" ht="54.75" customHeight="1">
      <c r="A108" s="102">
        <v>3</v>
      </c>
      <c r="B108" s="80"/>
      <c r="C108" s="85" t="s">
        <v>369</v>
      </c>
      <c r="D108" s="102" t="s">
        <v>51</v>
      </c>
      <c r="E108" s="80" t="s">
        <v>94</v>
      </c>
      <c r="F108" s="80" t="s">
        <v>95</v>
      </c>
      <c r="G108" s="82" t="s">
        <v>164</v>
      </c>
      <c r="H108" s="82" t="s">
        <v>25</v>
      </c>
      <c r="I108" s="82">
        <v>93971</v>
      </c>
      <c r="J108" s="75">
        <f t="shared" si="16"/>
        <v>1305.1500000000001</v>
      </c>
      <c r="K108" s="76">
        <v>4.2</v>
      </c>
      <c r="L108" s="77">
        <f t="shared" si="17"/>
        <v>5482</v>
      </c>
      <c r="M108" s="102"/>
      <c r="N108" s="102"/>
      <c r="O108" s="102">
        <v>25</v>
      </c>
      <c r="P108" s="75">
        <v>2.52</v>
      </c>
      <c r="Q108" s="77">
        <f>17697*25%/72*P108</f>
        <v>155</v>
      </c>
      <c r="R108" s="102"/>
      <c r="S108" s="102"/>
      <c r="T108" s="77"/>
      <c r="U108" s="77">
        <f t="shared" si="19"/>
        <v>548</v>
      </c>
      <c r="V108" s="77">
        <f t="shared" si="20"/>
        <v>6185</v>
      </c>
    </row>
    <row r="109" spans="1:22" s="42" customFormat="1" ht="63" customHeight="1">
      <c r="A109" s="79">
        <v>4</v>
      </c>
      <c r="B109" s="80"/>
      <c r="C109" s="81" t="s">
        <v>370</v>
      </c>
      <c r="D109" s="102" t="s">
        <v>51</v>
      </c>
      <c r="E109" s="80" t="s">
        <v>56</v>
      </c>
      <c r="F109" s="80" t="s">
        <v>57</v>
      </c>
      <c r="G109" s="80" t="s">
        <v>24</v>
      </c>
      <c r="H109" s="82" t="s">
        <v>25</v>
      </c>
      <c r="I109" s="74">
        <v>90609</v>
      </c>
      <c r="J109" s="75">
        <f t="shared" si="16"/>
        <v>1258.46</v>
      </c>
      <c r="K109" s="76">
        <f>4.2+4</f>
        <v>8.1999999999999993</v>
      </c>
      <c r="L109" s="77">
        <f t="shared" si="17"/>
        <v>10319</v>
      </c>
      <c r="M109" s="102"/>
      <c r="N109" s="102"/>
      <c r="O109" s="102">
        <v>25</v>
      </c>
      <c r="P109" s="75">
        <v>2.52</v>
      </c>
      <c r="Q109" s="77">
        <f>17697*25%/72*P109</f>
        <v>155</v>
      </c>
      <c r="R109" s="102"/>
      <c r="S109" s="102"/>
      <c r="T109" s="77"/>
      <c r="U109" s="77">
        <f t="shared" si="19"/>
        <v>1032</v>
      </c>
      <c r="V109" s="77">
        <f t="shared" si="20"/>
        <v>11506</v>
      </c>
    </row>
    <row r="110" spans="1:22" s="52" customFormat="1" ht="61.5" customHeight="1">
      <c r="A110" s="102">
        <v>5</v>
      </c>
      <c r="B110" s="80"/>
      <c r="C110" s="81" t="s">
        <v>74</v>
      </c>
      <c r="D110" s="102" t="s">
        <v>51</v>
      </c>
      <c r="E110" s="83" t="s">
        <v>75</v>
      </c>
      <c r="F110" s="80" t="s">
        <v>76</v>
      </c>
      <c r="G110" s="80" t="s">
        <v>152</v>
      </c>
      <c r="H110" s="74" t="s">
        <v>25</v>
      </c>
      <c r="I110" s="82">
        <v>90609</v>
      </c>
      <c r="J110" s="75">
        <f t="shared" si="16"/>
        <v>1258.46</v>
      </c>
      <c r="K110" s="102">
        <f>4.2+4.2</f>
        <v>8.4</v>
      </c>
      <c r="L110" s="77">
        <f t="shared" si="17"/>
        <v>10571</v>
      </c>
      <c r="M110" s="102"/>
      <c r="N110" s="102"/>
      <c r="O110" s="102">
        <v>20</v>
      </c>
      <c r="P110" s="76">
        <v>8.4</v>
      </c>
      <c r="Q110" s="77">
        <f>17697*20%/72*P110</f>
        <v>413</v>
      </c>
      <c r="R110" s="102"/>
      <c r="S110" s="102"/>
      <c r="T110" s="77"/>
      <c r="U110" s="77">
        <f t="shared" si="19"/>
        <v>1057</v>
      </c>
      <c r="V110" s="77">
        <f t="shared" si="20"/>
        <v>12041</v>
      </c>
    </row>
    <row r="111" spans="1:22" s="42" customFormat="1" ht="45" customHeight="1">
      <c r="A111" s="79">
        <v>6</v>
      </c>
      <c r="B111" s="37"/>
      <c r="C111" s="81" t="s">
        <v>296</v>
      </c>
      <c r="D111" s="102" t="s">
        <v>51</v>
      </c>
      <c r="E111" s="37" t="s">
        <v>237</v>
      </c>
      <c r="F111" s="37" t="s">
        <v>238</v>
      </c>
      <c r="G111" s="36" t="s">
        <v>32</v>
      </c>
      <c r="H111" s="74" t="s">
        <v>42</v>
      </c>
      <c r="I111" s="36">
        <v>82468</v>
      </c>
      <c r="J111" s="75">
        <f t="shared" si="16"/>
        <v>1145.3900000000001</v>
      </c>
      <c r="K111" s="76">
        <v>10.4</v>
      </c>
      <c r="L111" s="77">
        <f t="shared" si="17"/>
        <v>11912</v>
      </c>
      <c r="M111" s="102"/>
      <c r="N111" s="102"/>
      <c r="O111" s="102"/>
      <c r="P111" s="102"/>
      <c r="Q111" s="77">
        <f t="shared" ref="Q111:Q126" si="21">17697*20%/72*P111</f>
        <v>0</v>
      </c>
      <c r="R111" s="102"/>
      <c r="S111" s="102"/>
      <c r="T111" s="77"/>
      <c r="U111" s="77">
        <f t="shared" si="19"/>
        <v>1191</v>
      </c>
      <c r="V111" s="77">
        <f t="shared" si="20"/>
        <v>13103</v>
      </c>
    </row>
    <row r="112" spans="1:22" s="42" customFormat="1" ht="36.75" customHeight="1">
      <c r="A112" s="102">
        <v>7</v>
      </c>
      <c r="B112" s="83"/>
      <c r="C112" s="81" t="s">
        <v>296</v>
      </c>
      <c r="D112" s="102" t="s">
        <v>51</v>
      </c>
      <c r="E112" s="80" t="s">
        <v>132</v>
      </c>
      <c r="F112" s="80" t="s">
        <v>133</v>
      </c>
      <c r="G112" s="80" t="s">
        <v>175</v>
      </c>
      <c r="H112" s="74" t="s">
        <v>42</v>
      </c>
      <c r="I112" s="82">
        <v>85653</v>
      </c>
      <c r="J112" s="75">
        <f t="shared" si="16"/>
        <v>1189.6300000000001</v>
      </c>
      <c r="K112" s="76">
        <v>10.4</v>
      </c>
      <c r="L112" s="77">
        <f t="shared" si="17"/>
        <v>12372</v>
      </c>
      <c r="M112" s="102"/>
      <c r="N112" s="102"/>
      <c r="O112" s="102"/>
      <c r="P112" s="102"/>
      <c r="Q112" s="77">
        <f t="shared" si="21"/>
        <v>0</v>
      </c>
      <c r="R112" s="102"/>
      <c r="S112" s="102"/>
      <c r="T112" s="77"/>
      <c r="U112" s="77">
        <f t="shared" si="19"/>
        <v>1237</v>
      </c>
      <c r="V112" s="77">
        <f t="shared" si="20"/>
        <v>13609</v>
      </c>
    </row>
    <row r="113" spans="1:22" s="42" customFormat="1" ht="51">
      <c r="A113" s="79">
        <v>8</v>
      </c>
      <c r="B113" s="80"/>
      <c r="C113" s="81" t="s">
        <v>371</v>
      </c>
      <c r="D113" s="102" t="s">
        <v>51</v>
      </c>
      <c r="E113" s="80" t="s">
        <v>230</v>
      </c>
      <c r="F113" s="37" t="s">
        <v>231</v>
      </c>
      <c r="G113" s="90" t="s">
        <v>170</v>
      </c>
      <c r="H113" s="82" t="s">
        <v>25</v>
      </c>
      <c r="I113" s="82">
        <v>93971</v>
      </c>
      <c r="J113" s="75">
        <f t="shared" si="16"/>
        <v>1305.1500000000001</v>
      </c>
      <c r="K113" s="76">
        <f>10.6+10.6</f>
        <v>21.2</v>
      </c>
      <c r="L113" s="77">
        <f t="shared" si="17"/>
        <v>27669</v>
      </c>
      <c r="M113" s="102"/>
      <c r="N113" s="102"/>
      <c r="O113" s="102"/>
      <c r="P113" s="102"/>
      <c r="Q113" s="77">
        <f>17697*25%/72*P113</f>
        <v>0</v>
      </c>
      <c r="R113" s="102"/>
      <c r="S113" s="102"/>
      <c r="T113" s="77"/>
      <c r="U113" s="77">
        <f t="shared" si="19"/>
        <v>2767</v>
      </c>
      <c r="V113" s="77">
        <f t="shared" si="20"/>
        <v>30436</v>
      </c>
    </row>
    <row r="114" spans="1:22" s="42" customFormat="1" ht="159" customHeight="1">
      <c r="A114" s="102">
        <v>9</v>
      </c>
      <c r="B114" s="37"/>
      <c r="C114" s="81" t="s">
        <v>495</v>
      </c>
      <c r="D114" s="102" t="s">
        <v>51</v>
      </c>
      <c r="E114" s="37" t="s">
        <v>26</v>
      </c>
      <c r="F114" s="37" t="s">
        <v>104</v>
      </c>
      <c r="G114" s="73" t="s">
        <v>67</v>
      </c>
      <c r="H114" s="74" t="s">
        <v>25</v>
      </c>
      <c r="I114" s="74">
        <v>89016</v>
      </c>
      <c r="J114" s="75">
        <f t="shared" si="16"/>
        <v>1236.33</v>
      </c>
      <c r="K114" s="76">
        <f>5.4+5.4+8.8+8.2</f>
        <v>27.8</v>
      </c>
      <c r="L114" s="77">
        <f t="shared" si="17"/>
        <v>34370</v>
      </c>
      <c r="M114" s="102"/>
      <c r="N114" s="102">
        <v>4424</v>
      </c>
      <c r="O114" s="102"/>
      <c r="P114" s="75"/>
      <c r="Q114" s="77">
        <f>17697*25%/72*P114</f>
        <v>0</v>
      </c>
      <c r="R114" s="102"/>
      <c r="S114" s="102"/>
      <c r="T114" s="77"/>
      <c r="U114" s="77">
        <f t="shared" si="19"/>
        <v>3437</v>
      </c>
      <c r="V114" s="77">
        <f t="shared" si="20"/>
        <v>42231</v>
      </c>
    </row>
    <row r="115" spans="1:22" s="42" customFormat="1" ht="51">
      <c r="A115" s="79">
        <v>10</v>
      </c>
      <c r="B115" s="73"/>
      <c r="C115" s="73" t="s">
        <v>372</v>
      </c>
      <c r="D115" s="102" t="s">
        <v>51</v>
      </c>
      <c r="E115" s="73" t="s">
        <v>38</v>
      </c>
      <c r="F115" s="73" t="s">
        <v>54</v>
      </c>
      <c r="G115" s="73" t="s">
        <v>149</v>
      </c>
      <c r="H115" s="74" t="s">
        <v>25</v>
      </c>
      <c r="I115" s="74">
        <v>85653</v>
      </c>
      <c r="J115" s="75">
        <f t="shared" si="16"/>
        <v>1189.6300000000001</v>
      </c>
      <c r="K115" s="102">
        <f>7.2+7.2</f>
        <v>14.4</v>
      </c>
      <c r="L115" s="77">
        <f t="shared" si="17"/>
        <v>17131</v>
      </c>
      <c r="M115" s="102"/>
      <c r="N115" s="102"/>
      <c r="O115" s="102"/>
      <c r="P115" s="102"/>
      <c r="Q115" s="77">
        <f t="shared" si="21"/>
        <v>0</v>
      </c>
      <c r="R115" s="102"/>
      <c r="S115" s="102"/>
      <c r="T115" s="77"/>
      <c r="U115" s="77">
        <f t="shared" si="19"/>
        <v>1713</v>
      </c>
      <c r="V115" s="77">
        <f t="shared" si="20"/>
        <v>18844</v>
      </c>
    </row>
    <row r="116" spans="1:22" s="42" customFormat="1" ht="38.25">
      <c r="A116" s="102">
        <v>11</v>
      </c>
      <c r="B116" s="80"/>
      <c r="C116" s="81" t="s">
        <v>374</v>
      </c>
      <c r="D116" s="102" t="s">
        <v>51</v>
      </c>
      <c r="E116" s="80" t="s">
        <v>113</v>
      </c>
      <c r="F116" s="37" t="s">
        <v>114</v>
      </c>
      <c r="G116" s="90" t="s">
        <v>167</v>
      </c>
      <c r="H116" s="82" t="s">
        <v>25</v>
      </c>
      <c r="I116" s="82">
        <v>84061</v>
      </c>
      <c r="J116" s="75">
        <f t="shared" si="16"/>
        <v>1167.51</v>
      </c>
      <c r="K116" s="76">
        <v>3.8</v>
      </c>
      <c r="L116" s="77">
        <f t="shared" si="17"/>
        <v>4437</v>
      </c>
      <c r="M116" s="102"/>
      <c r="N116" s="102"/>
      <c r="O116" s="102"/>
      <c r="P116" s="102"/>
      <c r="Q116" s="77">
        <f t="shared" si="21"/>
        <v>0</v>
      </c>
      <c r="R116" s="102"/>
      <c r="S116" s="102"/>
      <c r="T116" s="77"/>
      <c r="U116" s="77">
        <f t="shared" si="19"/>
        <v>444</v>
      </c>
      <c r="V116" s="77">
        <f t="shared" si="20"/>
        <v>4881</v>
      </c>
    </row>
    <row r="117" spans="1:22" s="42" customFormat="1" ht="51">
      <c r="A117" s="79">
        <v>12</v>
      </c>
      <c r="B117" s="37"/>
      <c r="C117" s="81" t="s">
        <v>375</v>
      </c>
      <c r="D117" s="102" t="s">
        <v>51</v>
      </c>
      <c r="E117" s="37" t="s">
        <v>85</v>
      </c>
      <c r="F117" s="37" t="s">
        <v>86</v>
      </c>
      <c r="G117" s="80" t="s">
        <v>177</v>
      </c>
      <c r="H117" s="82" t="s">
        <v>42</v>
      </c>
      <c r="I117" s="74">
        <v>90609</v>
      </c>
      <c r="J117" s="109">
        <f t="shared" si="16"/>
        <v>1258.46</v>
      </c>
      <c r="K117" s="76">
        <v>7.2</v>
      </c>
      <c r="L117" s="77">
        <f t="shared" si="17"/>
        <v>9061</v>
      </c>
      <c r="M117" s="102"/>
      <c r="N117" s="102"/>
      <c r="O117" s="102"/>
      <c r="P117" s="102"/>
      <c r="Q117" s="77">
        <f t="shared" si="21"/>
        <v>0</v>
      </c>
      <c r="R117" s="102"/>
      <c r="S117" s="102"/>
      <c r="T117" s="77"/>
      <c r="U117" s="77">
        <f t="shared" si="19"/>
        <v>906</v>
      </c>
      <c r="V117" s="77">
        <f t="shared" si="20"/>
        <v>9967</v>
      </c>
    </row>
    <row r="118" spans="1:22" s="42" customFormat="1" ht="84" customHeight="1">
      <c r="A118" s="102">
        <v>13</v>
      </c>
      <c r="B118" s="83"/>
      <c r="C118" s="81" t="s">
        <v>376</v>
      </c>
      <c r="D118" s="102" t="s">
        <v>51</v>
      </c>
      <c r="E118" s="335" t="s">
        <v>211</v>
      </c>
      <c r="F118" s="327" t="s">
        <v>234</v>
      </c>
      <c r="G118" s="80" t="s">
        <v>181</v>
      </c>
      <c r="H118" s="82" t="s">
        <v>42</v>
      </c>
      <c r="I118" s="74">
        <v>79460</v>
      </c>
      <c r="J118" s="75">
        <f t="shared" si="16"/>
        <v>1103.6099999999999</v>
      </c>
      <c r="K118" s="76">
        <f>1.8+3.6</f>
        <v>5.4</v>
      </c>
      <c r="L118" s="77">
        <f t="shared" si="17"/>
        <v>5959</v>
      </c>
      <c r="M118" s="102"/>
      <c r="N118" s="102"/>
      <c r="O118" s="102"/>
      <c r="P118" s="102"/>
      <c r="Q118" s="77">
        <f t="shared" si="21"/>
        <v>0</v>
      </c>
      <c r="R118" s="102"/>
      <c r="S118" s="102"/>
      <c r="T118" s="77"/>
      <c r="U118" s="77">
        <f t="shared" si="19"/>
        <v>596</v>
      </c>
      <c r="V118" s="77">
        <f t="shared" si="20"/>
        <v>6555</v>
      </c>
    </row>
    <row r="119" spans="1:22" s="42" customFormat="1" ht="53.25" customHeight="1">
      <c r="A119" s="79">
        <v>14</v>
      </c>
      <c r="B119" s="80"/>
      <c r="C119" s="81" t="s">
        <v>36</v>
      </c>
      <c r="D119" s="102" t="s">
        <v>51</v>
      </c>
      <c r="E119" s="80" t="s">
        <v>26</v>
      </c>
      <c r="F119" s="80" t="s">
        <v>37</v>
      </c>
      <c r="G119" s="80" t="s">
        <v>142</v>
      </c>
      <c r="H119" s="82" t="s">
        <v>25</v>
      </c>
      <c r="I119" s="82">
        <v>90609</v>
      </c>
      <c r="J119" s="75">
        <f>I119/72</f>
        <v>1258.46</v>
      </c>
      <c r="K119" s="102">
        <v>9.8000000000000007</v>
      </c>
      <c r="L119" s="77">
        <f>J119*K119</f>
        <v>12333</v>
      </c>
      <c r="M119" s="102"/>
      <c r="N119" s="102"/>
      <c r="O119" s="102"/>
      <c r="P119" s="102"/>
      <c r="Q119" s="77">
        <f>17697*20%/72*P119</f>
        <v>0</v>
      </c>
      <c r="R119" s="102"/>
      <c r="S119" s="102"/>
      <c r="T119" s="77"/>
      <c r="U119" s="77">
        <f t="shared" si="19"/>
        <v>1233</v>
      </c>
      <c r="V119" s="77">
        <f t="shared" si="20"/>
        <v>13566</v>
      </c>
    </row>
    <row r="120" spans="1:22" s="42" customFormat="1" ht="87.75" customHeight="1">
      <c r="A120" s="102">
        <v>15</v>
      </c>
      <c r="B120" s="83"/>
      <c r="C120" s="37" t="s">
        <v>355</v>
      </c>
      <c r="D120" s="102" t="s">
        <v>51</v>
      </c>
      <c r="E120" s="80" t="s">
        <v>136</v>
      </c>
      <c r="F120" s="37" t="s">
        <v>137</v>
      </c>
      <c r="G120" s="80" t="s">
        <v>176</v>
      </c>
      <c r="H120" s="82" t="s">
        <v>42</v>
      </c>
      <c r="I120" s="74">
        <v>90609</v>
      </c>
      <c r="J120" s="106">
        <f t="shared" si="16"/>
        <v>1258.46</v>
      </c>
      <c r="K120" s="76">
        <v>3.4</v>
      </c>
      <c r="L120" s="77">
        <f t="shared" si="17"/>
        <v>4279</v>
      </c>
      <c r="M120" s="102"/>
      <c r="N120" s="102"/>
      <c r="O120" s="102"/>
      <c r="P120" s="102"/>
      <c r="Q120" s="77">
        <f t="shared" si="21"/>
        <v>0</v>
      </c>
      <c r="R120" s="102"/>
      <c r="S120" s="102"/>
      <c r="T120" s="77"/>
      <c r="U120" s="77">
        <f t="shared" si="19"/>
        <v>428</v>
      </c>
      <c r="V120" s="77">
        <f t="shared" si="20"/>
        <v>4707</v>
      </c>
    </row>
    <row r="121" spans="1:22" s="42" customFormat="1" ht="41.25" customHeight="1">
      <c r="A121" s="79">
        <v>16</v>
      </c>
      <c r="B121" s="37"/>
      <c r="C121" s="81" t="s">
        <v>347</v>
      </c>
      <c r="D121" s="102" t="s">
        <v>51</v>
      </c>
      <c r="E121" s="72" t="s">
        <v>232</v>
      </c>
      <c r="F121" s="37" t="s">
        <v>233</v>
      </c>
      <c r="G121" s="36" t="s">
        <v>180</v>
      </c>
      <c r="H121" s="74" t="s">
        <v>42</v>
      </c>
      <c r="I121" s="36">
        <v>90609</v>
      </c>
      <c r="J121" s="75">
        <f t="shared" si="16"/>
        <v>1258.46</v>
      </c>
      <c r="K121" s="76">
        <v>3.6</v>
      </c>
      <c r="L121" s="77">
        <f t="shared" si="17"/>
        <v>4530</v>
      </c>
      <c r="M121" s="102"/>
      <c r="N121" s="102"/>
      <c r="O121" s="102"/>
      <c r="P121" s="102"/>
      <c r="Q121" s="77">
        <f t="shared" si="21"/>
        <v>0</v>
      </c>
      <c r="R121" s="102"/>
      <c r="S121" s="102"/>
      <c r="T121" s="77"/>
      <c r="U121" s="77">
        <f t="shared" si="19"/>
        <v>453</v>
      </c>
      <c r="V121" s="77">
        <f t="shared" si="20"/>
        <v>4983</v>
      </c>
    </row>
    <row r="122" spans="1:22" s="42" customFormat="1" ht="41.25" customHeight="1">
      <c r="A122" s="102">
        <v>17</v>
      </c>
      <c r="B122" s="37"/>
      <c r="C122" s="334" t="s">
        <v>493</v>
      </c>
      <c r="D122" s="102" t="s">
        <v>51</v>
      </c>
      <c r="E122" s="37"/>
      <c r="F122" s="94"/>
      <c r="G122" s="336"/>
      <c r="H122" s="74"/>
      <c r="I122" s="36"/>
      <c r="J122" s="75"/>
      <c r="K122" s="76"/>
      <c r="L122" s="77"/>
      <c r="M122" s="102">
        <v>4424</v>
      </c>
      <c r="N122" s="102"/>
      <c r="O122" s="102"/>
      <c r="P122" s="102"/>
      <c r="Q122" s="77"/>
      <c r="R122" s="102"/>
      <c r="S122" s="102"/>
      <c r="T122" s="77"/>
      <c r="U122" s="77">
        <f t="shared" si="19"/>
        <v>0</v>
      </c>
      <c r="V122" s="77">
        <f t="shared" si="20"/>
        <v>4424</v>
      </c>
    </row>
    <row r="123" spans="1:22" s="42" customFormat="1" ht="41.25" customHeight="1">
      <c r="A123" s="79">
        <v>18</v>
      </c>
      <c r="B123" s="37" t="s">
        <v>49</v>
      </c>
      <c r="C123" s="85" t="s">
        <v>375</v>
      </c>
      <c r="D123" s="102" t="s">
        <v>51</v>
      </c>
      <c r="E123" s="37"/>
      <c r="F123" s="94"/>
      <c r="G123" s="362" t="s">
        <v>539</v>
      </c>
      <c r="H123" s="82" t="s">
        <v>42</v>
      </c>
      <c r="I123" s="82">
        <v>85653</v>
      </c>
      <c r="J123" s="75">
        <f t="shared" si="16"/>
        <v>1189.6300000000001</v>
      </c>
      <c r="K123" s="76">
        <v>7.2</v>
      </c>
      <c r="L123" s="77">
        <f t="shared" si="17"/>
        <v>8565</v>
      </c>
      <c r="M123" s="102"/>
      <c r="N123" s="102"/>
      <c r="O123" s="102"/>
      <c r="P123" s="102"/>
      <c r="Q123" s="77">
        <f t="shared" si="21"/>
        <v>0</v>
      </c>
      <c r="R123" s="102"/>
      <c r="S123" s="102"/>
      <c r="T123" s="77"/>
      <c r="U123" s="77">
        <f t="shared" si="19"/>
        <v>857</v>
      </c>
      <c r="V123" s="77">
        <f t="shared" si="20"/>
        <v>9422</v>
      </c>
    </row>
    <row r="124" spans="1:22" s="42" customFormat="1" ht="38.25">
      <c r="A124" s="102">
        <v>19</v>
      </c>
      <c r="B124" s="37" t="s">
        <v>49</v>
      </c>
      <c r="C124" s="85" t="s">
        <v>416</v>
      </c>
      <c r="D124" s="102" t="s">
        <v>51</v>
      </c>
      <c r="E124" s="94"/>
      <c r="F124" s="94"/>
      <c r="G124" s="362" t="s">
        <v>539</v>
      </c>
      <c r="H124" s="82" t="s">
        <v>42</v>
      </c>
      <c r="I124" s="82">
        <v>85653</v>
      </c>
      <c r="J124" s="75">
        <f t="shared" si="16"/>
        <v>1189.6300000000001</v>
      </c>
      <c r="K124" s="102">
        <f>3+1.8+10+23.4</f>
        <v>38.200000000000003</v>
      </c>
      <c r="L124" s="77">
        <f t="shared" si="17"/>
        <v>45444</v>
      </c>
      <c r="M124" s="102"/>
      <c r="N124" s="102"/>
      <c r="O124" s="102"/>
      <c r="P124" s="102"/>
      <c r="Q124" s="77">
        <f t="shared" si="21"/>
        <v>0</v>
      </c>
      <c r="R124" s="102"/>
      <c r="S124" s="102"/>
      <c r="T124" s="77"/>
      <c r="U124" s="77">
        <f t="shared" si="19"/>
        <v>4544</v>
      </c>
      <c r="V124" s="77">
        <f t="shared" si="20"/>
        <v>49988</v>
      </c>
    </row>
    <row r="125" spans="1:22" s="42" customFormat="1" hidden="1">
      <c r="A125" s="104"/>
      <c r="B125" s="37"/>
      <c r="C125" s="93"/>
      <c r="D125" s="80" t="s">
        <v>51</v>
      </c>
      <c r="E125" s="94"/>
      <c r="F125" s="94"/>
      <c r="G125" s="337"/>
      <c r="H125" s="82"/>
      <c r="I125" s="82"/>
      <c r="J125" s="75">
        <f t="shared" si="16"/>
        <v>0</v>
      </c>
      <c r="K125" s="102"/>
      <c r="L125" s="77">
        <f t="shared" si="17"/>
        <v>0</v>
      </c>
      <c r="M125" s="102"/>
      <c r="N125" s="102"/>
      <c r="O125" s="102"/>
      <c r="P125" s="102"/>
      <c r="Q125" s="77">
        <f t="shared" si="21"/>
        <v>0</v>
      </c>
      <c r="R125" s="102"/>
      <c r="S125" s="102"/>
      <c r="T125" s="77"/>
      <c r="U125" s="77">
        <f t="shared" ref="U125:U126" si="22">L125*10%</f>
        <v>0</v>
      </c>
      <c r="V125" s="77">
        <f t="shared" ref="V125:V126" si="23">M125+N125+Q125+R125+T125+U125+S125+L125</f>
        <v>0</v>
      </c>
    </row>
    <row r="126" spans="1:22" s="42" customFormat="1" hidden="1">
      <c r="A126" s="104"/>
      <c r="B126" s="108"/>
      <c r="C126" s="93"/>
      <c r="D126" s="80" t="s">
        <v>51</v>
      </c>
      <c r="E126" s="94"/>
      <c r="F126" s="94"/>
      <c r="G126" s="337"/>
      <c r="H126" s="82"/>
      <c r="I126" s="82"/>
      <c r="J126" s="75">
        <f t="shared" si="16"/>
        <v>0</v>
      </c>
      <c r="K126" s="102"/>
      <c r="L126" s="77">
        <f t="shared" si="17"/>
        <v>0</v>
      </c>
      <c r="M126" s="102"/>
      <c r="N126" s="102"/>
      <c r="O126" s="102"/>
      <c r="P126" s="102"/>
      <c r="Q126" s="77">
        <f t="shared" si="21"/>
        <v>0</v>
      </c>
      <c r="R126" s="102"/>
      <c r="S126" s="102"/>
      <c r="T126" s="77"/>
      <c r="U126" s="77">
        <f t="shared" si="22"/>
        <v>0</v>
      </c>
      <c r="V126" s="77">
        <f t="shared" si="23"/>
        <v>0</v>
      </c>
    </row>
    <row r="127" spans="1:22" s="42" customFormat="1">
      <c r="A127" s="104"/>
      <c r="B127" s="104" t="s">
        <v>8</v>
      </c>
      <c r="C127" s="102"/>
      <c r="D127" s="102"/>
      <c r="E127" s="102"/>
      <c r="F127" s="102"/>
      <c r="G127" s="104"/>
      <c r="H127" s="102"/>
      <c r="I127" s="102"/>
      <c r="J127" s="75"/>
      <c r="K127" s="76">
        <f>SUM(K106:K126)</f>
        <v>191.6</v>
      </c>
      <c r="L127" s="76">
        <f t="shared" ref="L127:U127" si="24">SUM(L106:L126)</f>
        <v>234091</v>
      </c>
      <c r="M127" s="76">
        <f t="shared" si="24"/>
        <v>4424</v>
      </c>
      <c r="N127" s="76">
        <f t="shared" si="24"/>
        <v>4424</v>
      </c>
      <c r="O127" s="76"/>
      <c r="P127" s="75">
        <f t="shared" si="24"/>
        <v>14.64</v>
      </c>
      <c r="Q127" s="76">
        <f t="shared" si="24"/>
        <v>797</v>
      </c>
      <c r="R127" s="76">
        <f t="shared" si="24"/>
        <v>0</v>
      </c>
      <c r="S127" s="76">
        <f t="shared" si="24"/>
        <v>0</v>
      </c>
      <c r="T127" s="76">
        <f t="shared" si="24"/>
        <v>0</v>
      </c>
      <c r="U127" s="76">
        <f t="shared" si="24"/>
        <v>23409</v>
      </c>
      <c r="V127" s="76">
        <f>SUM(V106:V126)</f>
        <v>267145</v>
      </c>
    </row>
    <row r="128" spans="1:22" s="42" customFormat="1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6" t="s">
        <v>213</v>
      </c>
      <c r="P128" s="96"/>
      <c r="Q128" s="96"/>
      <c r="R128" s="96"/>
      <c r="S128" s="97"/>
      <c r="T128" s="97"/>
      <c r="U128" s="98"/>
      <c r="V128" s="98"/>
    </row>
    <row r="129" spans="1:22" s="42" customFormat="1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</row>
    <row r="130" spans="1:22" s="42" customFormat="1">
      <c r="A130" s="99" t="s">
        <v>0</v>
      </c>
      <c r="B130" s="99"/>
      <c r="C130" s="99"/>
      <c r="D130" s="99"/>
      <c r="E130" s="100"/>
      <c r="F130" s="100"/>
      <c r="G130" s="100"/>
      <c r="H130" s="100"/>
      <c r="I130" s="100"/>
      <c r="J130" s="100"/>
      <c r="K130" s="100"/>
      <c r="L130" s="100"/>
      <c r="M130" s="100"/>
      <c r="N130" s="69" t="s">
        <v>1</v>
      </c>
      <c r="O130" s="69"/>
      <c r="P130" s="69"/>
      <c r="Q130" s="69"/>
      <c r="R130" s="69"/>
      <c r="S130" s="69"/>
      <c r="T130" s="69"/>
      <c r="U130" s="70"/>
      <c r="V130" s="70"/>
    </row>
    <row r="131" spans="1:22" s="42" customFormat="1">
      <c r="A131" s="99" t="s">
        <v>2</v>
      </c>
      <c r="B131" s="99"/>
      <c r="C131" s="99"/>
      <c r="D131" s="99"/>
      <c r="E131" s="100"/>
      <c r="F131" s="100"/>
      <c r="G131" s="100"/>
      <c r="H131" s="100"/>
      <c r="I131" s="100"/>
      <c r="J131" s="100"/>
      <c r="K131" s="100"/>
      <c r="L131" s="100"/>
      <c r="M131" s="100"/>
      <c r="N131" s="69" t="s">
        <v>3</v>
      </c>
      <c r="O131" s="69"/>
      <c r="P131" s="69"/>
      <c r="Q131" s="69"/>
      <c r="R131" s="69"/>
      <c r="S131" s="69"/>
      <c r="T131" s="69"/>
      <c r="U131" s="70"/>
      <c r="V131" s="70"/>
    </row>
    <row r="132" spans="1:22" s="42" customFormat="1">
      <c r="A132" s="99"/>
      <c r="B132" s="99"/>
      <c r="C132" s="99"/>
      <c r="D132" s="99"/>
      <c r="E132" s="100"/>
      <c r="F132" s="100"/>
      <c r="G132" s="100"/>
      <c r="H132" s="100"/>
      <c r="I132" s="100"/>
      <c r="J132" s="100"/>
      <c r="K132" s="100"/>
      <c r="L132" s="100"/>
      <c r="M132" s="100"/>
      <c r="N132" s="68" t="s">
        <v>4</v>
      </c>
      <c r="O132" s="68"/>
      <c r="P132" s="68"/>
      <c r="Q132" s="68"/>
      <c r="R132" s="68"/>
      <c r="S132" s="68"/>
      <c r="T132" s="68"/>
      <c r="U132" s="70"/>
      <c r="V132" s="70"/>
    </row>
    <row r="133" spans="1:22" s="42" customFormat="1">
      <c r="A133" s="99" t="s">
        <v>5</v>
      </c>
      <c r="B133" s="99"/>
      <c r="C133" s="99" t="s">
        <v>6</v>
      </c>
      <c r="D133" s="99"/>
      <c r="E133" s="462" t="s">
        <v>183</v>
      </c>
      <c r="F133" s="462"/>
      <c r="G133" s="462"/>
      <c r="H133" s="462"/>
      <c r="I133" s="462"/>
      <c r="J133" s="462"/>
      <c r="K133" s="462"/>
      <c r="L133" s="462"/>
      <c r="M133" s="70"/>
      <c r="N133" s="69" t="s">
        <v>139</v>
      </c>
      <c r="O133" s="69"/>
      <c r="P133" s="69"/>
      <c r="Q133" s="69"/>
      <c r="R133" s="69"/>
      <c r="S133" s="69"/>
      <c r="T133" s="69"/>
      <c r="U133" s="70"/>
      <c r="V133" s="70"/>
    </row>
    <row r="134" spans="1:22" s="44" customFormat="1">
      <c r="A134" s="99"/>
      <c r="B134" s="99"/>
      <c r="C134" s="99"/>
      <c r="D134" s="99"/>
      <c r="E134" s="463" t="s">
        <v>184</v>
      </c>
      <c r="F134" s="463"/>
      <c r="G134" s="463"/>
      <c r="H134" s="463"/>
      <c r="I134" s="463"/>
      <c r="J134" s="463"/>
      <c r="K134" s="463"/>
      <c r="L134" s="463"/>
      <c r="M134" s="463"/>
      <c r="N134" s="100"/>
      <c r="O134" s="100"/>
      <c r="P134" s="100"/>
      <c r="Q134" s="100"/>
      <c r="R134" s="100"/>
      <c r="S134" s="100"/>
      <c r="T134" s="100"/>
      <c r="U134" s="100"/>
      <c r="V134" s="70"/>
    </row>
    <row r="135" spans="1:22" s="44" customFormat="1">
      <c r="A135" s="100"/>
      <c r="B135" s="100"/>
      <c r="C135" s="100"/>
      <c r="D135" s="100"/>
      <c r="E135" s="464" t="s">
        <v>219</v>
      </c>
      <c r="F135" s="464"/>
      <c r="G135" s="464"/>
      <c r="H135" s="464"/>
      <c r="I135" s="464"/>
      <c r="J135" s="464"/>
      <c r="K135" s="464"/>
      <c r="L135" s="464"/>
      <c r="M135" s="464"/>
      <c r="N135" s="100"/>
      <c r="O135" s="100"/>
      <c r="P135" s="100"/>
      <c r="Q135" s="100"/>
      <c r="R135" s="100"/>
      <c r="S135" s="100"/>
      <c r="T135" s="100"/>
      <c r="U135" s="100"/>
      <c r="V135" s="70"/>
    </row>
    <row r="136" spans="1:22" s="44" customFormat="1">
      <c r="A136" s="100"/>
      <c r="B136" s="100"/>
      <c r="C136" s="100"/>
      <c r="D136" s="100"/>
      <c r="E136" s="464" t="s">
        <v>7</v>
      </c>
      <c r="F136" s="464"/>
      <c r="G136" s="464"/>
      <c r="H136" s="464"/>
      <c r="I136" s="464"/>
      <c r="J136" s="464"/>
      <c r="K136" s="464"/>
      <c r="L136" s="464"/>
      <c r="M136" s="464"/>
      <c r="N136" s="100"/>
      <c r="O136" s="100"/>
      <c r="P136" s="100"/>
      <c r="Q136" s="100"/>
      <c r="R136" s="100"/>
      <c r="S136" s="100"/>
      <c r="T136" s="100"/>
      <c r="U136" s="100"/>
      <c r="V136" s="70"/>
    </row>
    <row r="137" spans="1:22" s="44" customFormat="1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 t="s">
        <v>185</v>
      </c>
      <c r="R137" s="100"/>
      <c r="S137" s="100"/>
      <c r="T137" s="100"/>
      <c r="U137" s="100"/>
      <c r="V137" s="70"/>
    </row>
    <row r="138" spans="1:22" s="44" customFormat="1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 t="s">
        <v>265</v>
      </c>
      <c r="R138" s="100"/>
      <c r="S138" s="100"/>
      <c r="T138" s="100"/>
      <c r="U138" s="100"/>
      <c r="V138" s="70"/>
    </row>
    <row r="139" spans="1:22" s="42" customFormat="1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 t="s">
        <v>379</v>
      </c>
      <c r="L139" s="70"/>
      <c r="M139" s="70"/>
      <c r="N139" s="70"/>
      <c r="O139" s="70"/>
      <c r="P139" s="70"/>
      <c r="Q139" s="70" t="s">
        <v>186</v>
      </c>
      <c r="R139" s="70"/>
      <c r="S139" s="70"/>
      <c r="T139" s="70" t="s">
        <v>340</v>
      </c>
      <c r="U139" s="70"/>
      <c r="V139" s="70"/>
    </row>
    <row r="140" spans="1:22" s="42" customFormat="1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 t="s">
        <v>188</v>
      </c>
      <c r="R140" s="70"/>
      <c r="S140" s="70"/>
      <c r="T140" s="70">
        <v>2</v>
      </c>
      <c r="U140" s="70"/>
      <c r="V140" s="70"/>
    </row>
    <row r="141" spans="1:22" s="42" customFormat="1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 t="s">
        <v>189</v>
      </c>
      <c r="R141" s="70"/>
      <c r="S141" s="70"/>
      <c r="T141" s="70">
        <v>20</v>
      </c>
      <c r="U141" s="70" t="s">
        <v>190</v>
      </c>
      <c r="V141" s="70"/>
    </row>
    <row r="142" spans="1:22" s="42" customFormat="1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 t="s">
        <v>191</v>
      </c>
      <c r="R142" s="70"/>
      <c r="S142" s="70"/>
      <c r="T142" s="70">
        <v>0</v>
      </c>
      <c r="U142" s="70">
        <f>T142*100/T141</f>
        <v>0</v>
      </c>
      <c r="V142" s="70" t="s">
        <v>17</v>
      </c>
    </row>
    <row r="143" spans="1:22" s="42" customFormat="1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 t="s">
        <v>192</v>
      </c>
      <c r="R143" s="70"/>
      <c r="S143" s="70"/>
      <c r="T143" s="70">
        <v>20</v>
      </c>
      <c r="U143" s="70">
        <f>T143*100/T141</f>
        <v>100</v>
      </c>
      <c r="V143" s="70" t="s">
        <v>17</v>
      </c>
    </row>
    <row r="144" spans="1:22" s="42" customFormat="1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 t="s">
        <v>193</v>
      </c>
      <c r="R144" s="70"/>
      <c r="S144" s="70"/>
      <c r="T144" s="324">
        <f>K165</f>
        <v>161</v>
      </c>
      <c r="U144" s="70"/>
      <c r="V144" s="70"/>
    </row>
    <row r="145" spans="1:22" s="42" customFormat="1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</row>
    <row r="146" spans="1:22" s="42" customFormat="1">
      <c r="A146" s="70"/>
      <c r="B146" s="70" t="s">
        <v>377</v>
      </c>
      <c r="C146" s="70" t="s">
        <v>341</v>
      </c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</row>
    <row r="147" spans="1:22" s="42" customFormat="1" ht="14.25" customHeight="1">
      <c r="A147" s="459" t="s">
        <v>195</v>
      </c>
      <c r="B147" s="459" t="s">
        <v>196</v>
      </c>
      <c r="C147" s="459" t="s">
        <v>197</v>
      </c>
      <c r="D147" s="459" t="s">
        <v>198</v>
      </c>
      <c r="E147" s="459" t="s">
        <v>10</v>
      </c>
      <c r="F147" s="459" t="s">
        <v>199</v>
      </c>
      <c r="G147" s="459" t="s">
        <v>200</v>
      </c>
      <c r="H147" s="459" t="s">
        <v>201</v>
      </c>
      <c r="I147" s="459" t="s">
        <v>202</v>
      </c>
      <c r="J147" s="459" t="s">
        <v>11</v>
      </c>
      <c r="K147" s="459" t="s">
        <v>203</v>
      </c>
      <c r="L147" s="459" t="s">
        <v>12</v>
      </c>
      <c r="M147" s="458" t="s">
        <v>204</v>
      </c>
      <c r="N147" s="458"/>
      <c r="O147" s="458"/>
      <c r="P147" s="458"/>
      <c r="Q147" s="458"/>
      <c r="R147" s="458"/>
      <c r="S147" s="458"/>
      <c r="T147" s="458"/>
      <c r="U147" s="459" t="s">
        <v>205</v>
      </c>
      <c r="V147" s="459" t="s">
        <v>206</v>
      </c>
    </row>
    <row r="148" spans="1:22" s="42" customFormat="1" ht="14.25" customHeight="1">
      <c r="A148" s="460"/>
      <c r="B148" s="460"/>
      <c r="C148" s="460"/>
      <c r="D148" s="460"/>
      <c r="E148" s="460"/>
      <c r="F148" s="460"/>
      <c r="G148" s="460"/>
      <c r="H148" s="460"/>
      <c r="I148" s="460"/>
      <c r="J148" s="460"/>
      <c r="K148" s="460"/>
      <c r="L148" s="460"/>
      <c r="M148" s="459" t="s">
        <v>207</v>
      </c>
      <c r="N148" s="459" t="s">
        <v>15</v>
      </c>
      <c r="O148" s="458" t="s">
        <v>16</v>
      </c>
      <c r="P148" s="458"/>
      <c r="Q148" s="458"/>
      <c r="R148" s="459" t="s">
        <v>215</v>
      </c>
      <c r="S148" s="459" t="s">
        <v>216</v>
      </c>
      <c r="T148" s="459" t="s">
        <v>217</v>
      </c>
      <c r="U148" s="460"/>
      <c r="V148" s="460"/>
    </row>
    <row r="149" spans="1:22" s="42" customFormat="1" ht="108" customHeight="1">
      <c r="A149" s="461"/>
      <c r="B149" s="461"/>
      <c r="C149" s="461"/>
      <c r="D149" s="461"/>
      <c r="E149" s="461"/>
      <c r="F149" s="461"/>
      <c r="G149" s="461"/>
      <c r="H149" s="461"/>
      <c r="I149" s="461"/>
      <c r="J149" s="461"/>
      <c r="K149" s="461"/>
      <c r="L149" s="461"/>
      <c r="M149" s="461"/>
      <c r="N149" s="461"/>
      <c r="O149" s="71" t="s">
        <v>17</v>
      </c>
      <c r="P149" s="71" t="s">
        <v>18</v>
      </c>
      <c r="Q149" s="71" t="s">
        <v>19</v>
      </c>
      <c r="R149" s="461"/>
      <c r="S149" s="461"/>
      <c r="T149" s="461"/>
      <c r="U149" s="461"/>
      <c r="V149" s="461"/>
    </row>
    <row r="150" spans="1:22" s="42" customFormat="1" ht="86.25" customHeight="1">
      <c r="A150" s="102">
        <v>1</v>
      </c>
      <c r="B150" s="80"/>
      <c r="C150" s="81" t="s">
        <v>60</v>
      </c>
      <c r="D150" s="102" t="s">
        <v>51</v>
      </c>
      <c r="E150" s="83" t="s">
        <v>61</v>
      </c>
      <c r="F150" s="80" t="s">
        <v>62</v>
      </c>
      <c r="G150" s="82" t="s">
        <v>156</v>
      </c>
      <c r="H150" s="74" t="s">
        <v>25</v>
      </c>
      <c r="I150" s="82">
        <v>89016</v>
      </c>
      <c r="J150" s="75">
        <f>I150/72</f>
        <v>1236.33</v>
      </c>
      <c r="K150" s="76">
        <v>3</v>
      </c>
      <c r="L150" s="77">
        <f>J150*K150</f>
        <v>3709</v>
      </c>
      <c r="M150" s="102"/>
      <c r="N150" s="102"/>
      <c r="O150" s="102">
        <v>25</v>
      </c>
      <c r="P150" s="76">
        <v>1.2</v>
      </c>
      <c r="Q150" s="77">
        <f>17697*25%/72*P150</f>
        <v>74</v>
      </c>
      <c r="R150" s="77"/>
      <c r="S150" s="77"/>
      <c r="T150" s="77"/>
      <c r="U150" s="77">
        <f>L150*10%</f>
        <v>371</v>
      </c>
      <c r="V150" s="77">
        <f>M150+N150+Q150+R150+T150+U150+S150+L150</f>
        <v>4154</v>
      </c>
    </row>
    <row r="151" spans="1:22" s="42" customFormat="1" ht="45.75" customHeight="1">
      <c r="A151" s="79">
        <v>2</v>
      </c>
      <c r="B151" s="73"/>
      <c r="C151" s="122" t="s">
        <v>28</v>
      </c>
      <c r="D151" s="102" t="s">
        <v>51</v>
      </c>
      <c r="E151" s="73" t="s">
        <v>29</v>
      </c>
      <c r="F151" s="73" t="s">
        <v>30</v>
      </c>
      <c r="G151" s="73" t="s">
        <v>134</v>
      </c>
      <c r="H151" s="74" t="s">
        <v>25</v>
      </c>
      <c r="I151" s="74">
        <v>85653</v>
      </c>
      <c r="J151" s="75">
        <f t="shared" ref="J151:J155" si="25">I151/72</f>
        <v>1189.6300000000001</v>
      </c>
      <c r="K151" s="76">
        <v>5</v>
      </c>
      <c r="L151" s="77">
        <f t="shared" ref="L151:L155" si="26">J151*K151</f>
        <v>5948</v>
      </c>
      <c r="M151" s="102"/>
      <c r="N151" s="102"/>
      <c r="O151" s="102"/>
      <c r="P151" s="76"/>
      <c r="Q151" s="77">
        <f t="shared" ref="Q151" si="27">17697*25%/72*P151</f>
        <v>0</v>
      </c>
      <c r="R151" s="102"/>
      <c r="S151" s="102"/>
      <c r="T151" s="77"/>
      <c r="U151" s="77">
        <f t="shared" ref="U151:U164" si="28">L151*10%</f>
        <v>595</v>
      </c>
      <c r="V151" s="77">
        <f t="shared" ref="V151:V164" si="29">M151+N151+Q151+R151+T151+U151+S151+L151</f>
        <v>6543</v>
      </c>
    </row>
    <row r="152" spans="1:22" s="42" customFormat="1" ht="62.25" customHeight="1">
      <c r="A152" s="102">
        <v>3</v>
      </c>
      <c r="B152" s="80"/>
      <c r="C152" s="85" t="s">
        <v>524</v>
      </c>
      <c r="D152" s="102" t="s">
        <v>51</v>
      </c>
      <c r="E152" s="80" t="s">
        <v>94</v>
      </c>
      <c r="F152" s="80" t="s">
        <v>95</v>
      </c>
      <c r="G152" s="82" t="s">
        <v>164</v>
      </c>
      <c r="H152" s="82" t="s">
        <v>25</v>
      </c>
      <c r="I152" s="82">
        <v>93971</v>
      </c>
      <c r="J152" s="75">
        <f t="shared" si="25"/>
        <v>1305.1500000000001</v>
      </c>
      <c r="K152" s="76">
        <v>4.2</v>
      </c>
      <c r="L152" s="77">
        <f t="shared" si="26"/>
        <v>5482</v>
      </c>
      <c r="M152" s="102">
        <v>4424</v>
      </c>
      <c r="N152" s="102"/>
      <c r="O152" s="102">
        <v>25</v>
      </c>
      <c r="P152" s="75">
        <v>2.52</v>
      </c>
      <c r="Q152" s="77">
        <f>17697*25%/72*P152</f>
        <v>155</v>
      </c>
      <c r="R152" s="102"/>
      <c r="S152" s="102"/>
      <c r="T152" s="77"/>
      <c r="U152" s="77">
        <f t="shared" si="28"/>
        <v>548</v>
      </c>
      <c r="V152" s="77">
        <f t="shared" si="29"/>
        <v>10609</v>
      </c>
    </row>
    <row r="153" spans="1:22" s="42" customFormat="1" ht="51.75" customHeight="1">
      <c r="A153" s="79">
        <v>4</v>
      </c>
      <c r="B153" s="80"/>
      <c r="C153" s="81" t="s">
        <v>74</v>
      </c>
      <c r="D153" s="102" t="s">
        <v>51</v>
      </c>
      <c r="E153" s="83" t="s">
        <v>75</v>
      </c>
      <c r="F153" s="80" t="s">
        <v>76</v>
      </c>
      <c r="G153" s="80" t="s">
        <v>152</v>
      </c>
      <c r="H153" s="74" t="s">
        <v>25</v>
      </c>
      <c r="I153" s="82">
        <v>90609</v>
      </c>
      <c r="J153" s="75">
        <f t="shared" si="25"/>
        <v>1258.46</v>
      </c>
      <c r="K153" s="102">
        <v>4.2</v>
      </c>
      <c r="L153" s="77">
        <f t="shared" si="26"/>
        <v>5286</v>
      </c>
      <c r="M153" s="102"/>
      <c r="N153" s="102"/>
      <c r="O153" s="102">
        <v>20</v>
      </c>
      <c r="P153" s="76">
        <v>4.2</v>
      </c>
      <c r="Q153" s="77">
        <f>17697*20%/72*P153</f>
        <v>206</v>
      </c>
      <c r="R153" s="102"/>
      <c r="S153" s="102"/>
      <c r="T153" s="77"/>
      <c r="U153" s="77">
        <f t="shared" si="28"/>
        <v>529</v>
      </c>
      <c r="V153" s="77">
        <f t="shared" si="29"/>
        <v>6021</v>
      </c>
    </row>
    <row r="154" spans="1:22" s="42" customFormat="1" ht="51">
      <c r="A154" s="102">
        <v>5</v>
      </c>
      <c r="B154" s="80"/>
      <c r="C154" s="81" t="s">
        <v>254</v>
      </c>
      <c r="D154" s="102" t="s">
        <v>51</v>
      </c>
      <c r="E154" s="80" t="s">
        <v>56</v>
      </c>
      <c r="F154" s="80" t="s">
        <v>57</v>
      </c>
      <c r="G154" s="80" t="s">
        <v>24</v>
      </c>
      <c r="H154" s="82" t="s">
        <v>25</v>
      </c>
      <c r="I154" s="74">
        <v>90609</v>
      </c>
      <c r="J154" s="109">
        <f t="shared" si="25"/>
        <v>1258.46</v>
      </c>
      <c r="K154" s="76">
        <v>4</v>
      </c>
      <c r="L154" s="77">
        <f t="shared" si="26"/>
        <v>5034</v>
      </c>
      <c r="M154" s="102"/>
      <c r="N154" s="102"/>
      <c r="O154" s="102"/>
      <c r="P154" s="102"/>
      <c r="Q154" s="77">
        <f t="shared" ref="Q154:Q155" si="30">17697*20%/72*P154</f>
        <v>0</v>
      </c>
      <c r="R154" s="102"/>
      <c r="S154" s="102"/>
      <c r="T154" s="77"/>
      <c r="U154" s="77">
        <f t="shared" si="28"/>
        <v>503</v>
      </c>
      <c r="V154" s="77">
        <f t="shared" si="29"/>
        <v>5537</v>
      </c>
    </row>
    <row r="155" spans="1:22" s="42" customFormat="1" ht="57" customHeight="1">
      <c r="A155" s="79">
        <v>6</v>
      </c>
      <c r="B155" s="80"/>
      <c r="C155" s="81" t="s">
        <v>371</v>
      </c>
      <c r="D155" s="102" t="s">
        <v>51</v>
      </c>
      <c r="E155" s="80" t="s">
        <v>230</v>
      </c>
      <c r="F155" s="37" t="s">
        <v>231</v>
      </c>
      <c r="G155" s="90" t="s">
        <v>170</v>
      </c>
      <c r="H155" s="82" t="s">
        <v>25</v>
      </c>
      <c r="I155" s="82">
        <v>93971</v>
      </c>
      <c r="J155" s="75">
        <f t="shared" si="25"/>
        <v>1305.1500000000001</v>
      </c>
      <c r="K155" s="76">
        <v>10.6</v>
      </c>
      <c r="L155" s="77">
        <f t="shared" si="26"/>
        <v>13835</v>
      </c>
      <c r="M155" s="102"/>
      <c r="N155" s="102"/>
      <c r="O155" s="102"/>
      <c r="P155" s="102"/>
      <c r="Q155" s="77">
        <f t="shared" si="30"/>
        <v>0</v>
      </c>
      <c r="R155" s="102"/>
      <c r="S155" s="102"/>
      <c r="T155" s="77"/>
      <c r="U155" s="77">
        <f t="shared" si="28"/>
        <v>1384</v>
      </c>
      <c r="V155" s="77">
        <f t="shared" si="29"/>
        <v>15219</v>
      </c>
    </row>
    <row r="156" spans="1:22" s="42" customFormat="1" ht="159.75" customHeight="1">
      <c r="A156" s="102">
        <v>7</v>
      </c>
      <c r="B156" s="37"/>
      <c r="C156" s="81" t="s">
        <v>373</v>
      </c>
      <c r="D156" s="102" t="s">
        <v>51</v>
      </c>
      <c r="E156" s="37" t="s">
        <v>26</v>
      </c>
      <c r="F156" s="37" t="s">
        <v>104</v>
      </c>
      <c r="G156" s="73" t="s">
        <v>67</v>
      </c>
      <c r="H156" s="74" t="s">
        <v>25</v>
      </c>
      <c r="I156" s="74">
        <v>89016</v>
      </c>
      <c r="J156" s="75">
        <f>I156/72</f>
        <v>1236.33</v>
      </c>
      <c r="K156" s="102">
        <f>5.4+5.4+8.8+8.2</f>
        <v>27.8</v>
      </c>
      <c r="L156" s="77">
        <f>J156*K156</f>
        <v>34370</v>
      </c>
      <c r="M156" s="102"/>
      <c r="N156" s="102"/>
      <c r="O156" s="102"/>
      <c r="P156" s="102"/>
      <c r="Q156" s="77">
        <f>17697*20%/72*P156</f>
        <v>0</v>
      </c>
      <c r="R156" s="102"/>
      <c r="S156" s="102"/>
      <c r="T156" s="77"/>
      <c r="U156" s="77">
        <f t="shared" si="28"/>
        <v>3437</v>
      </c>
      <c r="V156" s="77">
        <f t="shared" si="29"/>
        <v>37807</v>
      </c>
    </row>
    <row r="157" spans="1:22" s="42" customFormat="1" ht="54" customHeight="1">
      <c r="A157" s="79">
        <v>8</v>
      </c>
      <c r="B157" s="73"/>
      <c r="C157" s="73" t="s">
        <v>372</v>
      </c>
      <c r="D157" s="102" t="s">
        <v>51</v>
      </c>
      <c r="E157" s="73" t="s">
        <v>38</v>
      </c>
      <c r="F157" s="73" t="s">
        <v>54</v>
      </c>
      <c r="G157" s="73" t="s">
        <v>149</v>
      </c>
      <c r="H157" s="74" t="s">
        <v>25</v>
      </c>
      <c r="I157" s="74">
        <v>85653</v>
      </c>
      <c r="J157" s="106">
        <f t="shared" ref="J157:J164" si="31">I157/72</f>
        <v>1189.6300000000001</v>
      </c>
      <c r="K157" s="76">
        <f>7.2+7.2</f>
        <v>14.4</v>
      </c>
      <c r="L157" s="77">
        <f t="shared" ref="L157:L164" si="32">J157*K157</f>
        <v>17131</v>
      </c>
      <c r="M157" s="102"/>
      <c r="N157" s="102"/>
      <c r="O157" s="102"/>
      <c r="P157" s="102"/>
      <c r="Q157" s="77">
        <f t="shared" ref="Q157:Q164" si="33">17697*20%/72*P157</f>
        <v>0</v>
      </c>
      <c r="R157" s="102"/>
      <c r="S157" s="102"/>
      <c r="T157" s="77"/>
      <c r="U157" s="77">
        <f t="shared" si="28"/>
        <v>1713</v>
      </c>
      <c r="V157" s="77">
        <f t="shared" si="29"/>
        <v>18844</v>
      </c>
    </row>
    <row r="158" spans="1:22" s="42" customFormat="1" ht="38.25">
      <c r="A158" s="102">
        <v>9</v>
      </c>
      <c r="B158" s="80"/>
      <c r="C158" s="81" t="s">
        <v>374</v>
      </c>
      <c r="D158" s="102" t="s">
        <v>51</v>
      </c>
      <c r="E158" s="80" t="s">
        <v>113</v>
      </c>
      <c r="F158" s="37" t="s">
        <v>114</v>
      </c>
      <c r="G158" s="90" t="s">
        <v>167</v>
      </c>
      <c r="H158" s="82" t="s">
        <v>25</v>
      </c>
      <c r="I158" s="82">
        <v>84061</v>
      </c>
      <c r="J158" s="75">
        <f t="shared" si="31"/>
        <v>1167.51</v>
      </c>
      <c r="K158" s="76">
        <v>3.8</v>
      </c>
      <c r="L158" s="77">
        <f t="shared" si="32"/>
        <v>4437</v>
      </c>
      <c r="M158" s="102"/>
      <c r="N158" s="102">
        <v>4424</v>
      </c>
      <c r="O158" s="102"/>
      <c r="P158" s="102"/>
      <c r="Q158" s="77">
        <f t="shared" si="33"/>
        <v>0</v>
      </c>
      <c r="R158" s="102"/>
      <c r="S158" s="102"/>
      <c r="T158" s="77"/>
      <c r="U158" s="77">
        <f t="shared" si="28"/>
        <v>444</v>
      </c>
      <c r="V158" s="77">
        <f t="shared" si="29"/>
        <v>9305</v>
      </c>
    </row>
    <row r="159" spans="1:22" s="44" customFormat="1" ht="51">
      <c r="A159" s="79">
        <v>10</v>
      </c>
      <c r="B159" s="37"/>
      <c r="C159" s="81" t="s">
        <v>375</v>
      </c>
      <c r="D159" s="102" t="s">
        <v>51</v>
      </c>
      <c r="E159" s="37" t="s">
        <v>85</v>
      </c>
      <c r="F159" s="37" t="s">
        <v>86</v>
      </c>
      <c r="G159" s="80" t="s">
        <v>177</v>
      </c>
      <c r="H159" s="82" t="s">
        <v>42</v>
      </c>
      <c r="I159" s="74">
        <v>90609</v>
      </c>
      <c r="J159" s="75">
        <f t="shared" si="31"/>
        <v>1258.46</v>
      </c>
      <c r="K159" s="102">
        <v>7.2</v>
      </c>
      <c r="L159" s="77">
        <f t="shared" si="32"/>
        <v>9061</v>
      </c>
      <c r="M159" s="102"/>
      <c r="N159" s="102"/>
      <c r="O159" s="102"/>
      <c r="P159" s="102"/>
      <c r="Q159" s="77">
        <f t="shared" si="33"/>
        <v>0</v>
      </c>
      <c r="R159" s="102"/>
      <c r="S159" s="102"/>
      <c r="T159" s="77"/>
      <c r="U159" s="77">
        <f t="shared" si="28"/>
        <v>906</v>
      </c>
      <c r="V159" s="77">
        <f t="shared" si="29"/>
        <v>9967</v>
      </c>
    </row>
    <row r="160" spans="1:22" s="44" customFormat="1" ht="76.5">
      <c r="A160" s="102">
        <v>11</v>
      </c>
      <c r="B160" s="83"/>
      <c r="C160" s="81" t="s">
        <v>376</v>
      </c>
      <c r="D160" s="102" t="s">
        <v>51</v>
      </c>
      <c r="E160" s="335" t="s">
        <v>211</v>
      </c>
      <c r="F160" s="327" t="s">
        <v>234</v>
      </c>
      <c r="G160" s="80" t="s">
        <v>181</v>
      </c>
      <c r="H160" s="82" t="s">
        <v>42</v>
      </c>
      <c r="I160" s="74">
        <v>79460</v>
      </c>
      <c r="J160" s="75">
        <f t="shared" si="31"/>
        <v>1103.6099999999999</v>
      </c>
      <c r="K160" s="102">
        <f>1.8+3.6</f>
        <v>5.4</v>
      </c>
      <c r="L160" s="77">
        <f t="shared" si="32"/>
        <v>5959</v>
      </c>
      <c r="M160" s="102"/>
      <c r="N160" s="102"/>
      <c r="O160" s="102"/>
      <c r="P160" s="102"/>
      <c r="Q160" s="77">
        <f t="shared" si="33"/>
        <v>0</v>
      </c>
      <c r="R160" s="102"/>
      <c r="S160" s="102"/>
      <c r="T160" s="77"/>
      <c r="U160" s="77">
        <f t="shared" si="28"/>
        <v>596</v>
      </c>
      <c r="V160" s="77">
        <f t="shared" si="29"/>
        <v>6555</v>
      </c>
    </row>
    <row r="161" spans="1:22" s="44" customFormat="1" ht="38.25">
      <c r="A161" s="79">
        <v>12</v>
      </c>
      <c r="B161" s="80"/>
      <c r="C161" s="81" t="s">
        <v>36</v>
      </c>
      <c r="D161" s="102" t="s">
        <v>51</v>
      </c>
      <c r="E161" s="80" t="s">
        <v>26</v>
      </c>
      <c r="F161" s="80" t="s">
        <v>37</v>
      </c>
      <c r="G161" s="80" t="s">
        <v>142</v>
      </c>
      <c r="H161" s="82" t="s">
        <v>25</v>
      </c>
      <c r="I161" s="82">
        <v>90609</v>
      </c>
      <c r="J161" s="75">
        <f t="shared" si="31"/>
        <v>1258.46</v>
      </c>
      <c r="K161" s="102">
        <v>9.8000000000000007</v>
      </c>
      <c r="L161" s="77">
        <f t="shared" si="32"/>
        <v>12333</v>
      </c>
      <c r="M161" s="102"/>
      <c r="N161" s="102"/>
      <c r="O161" s="102"/>
      <c r="P161" s="102"/>
      <c r="Q161" s="77">
        <f t="shared" si="33"/>
        <v>0</v>
      </c>
      <c r="R161" s="102"/>
      <c r="S161" s="102"/>
      <c r="T161" s="77"/>
      <c r="U161" s="77">
        <f t="shared" si="28"/>
        <v>1233</v>
      </c>
      <c r="V161" s="77">
        <f t="shared" si="29"/>
        <v>13566</v>
      </c>
    </row>
    <row r="162" spans="1:22" s="44" customFormat="1" ht="89.25">
      <c r="A162" s="102">
        <v>13</v>
      </c>
      <c r="B162" s="83"/>
      <c r="C162" s="37" t="s">
        <v>355</v>
      </c>
      <c r="D162" s="102" t="s">
        <v>51</v>
      </c>
      <c r="E162" s="80" t="s">
        <v>136</v>
      </c>
      <c r="F162" s="37" t="s">
        <v>137</v>
      </c>
      <c r="G162" s="80" t="s">
        <v>176</v>
      </c>
      <c r="H162" s="82" t="s">
        <v>42</v>
      </c>
      <c r="I162" s="74">
        <v>90609</v>
      </c>
      <c r="J162" s="75">
        <f t="shared" si="31"/>
        <v>1258.46</v>
      </c>
      <c r="K162" s="102">
        <v>3.4</v>
      </c>
      <c r="L162" s="77">
        <f t="shared" si="32"/>
        <v>4279</v>
      </c>
      <c r="M162" s="102"/>
      <c r="N162" s="102"/>
      <c r="O162" s="102"/>
      <c r="P162" s="102"/>
      <c r="Q162" s="77">
        <f t="shared" si="33"/>
        <v>0</v>
      </c>
      <c r="R162" s="102"/>
      <c r="S162" s="102"/>
      <c r="T162" s="77"/>
      <c r="U162" s="77">
        <f t="shared" si="28"/>
        <v>428</v>
      </c>
      <c r="V162" s="77">
        <f t="shared" si="29"/>
        <v>4707</v>
      </c>
    </row>
    <row r="163" spans="1:22" s="44" customFormat="1" ht="51">
      <c r="A163" s="79">
        <v>14</v>
      </c>
      <c r="B163" s="37"/>
      <c r="C163" s="81" t="s">
        <v>347</v>
      </c>
      <c r="D163" s="102" t="s">
        <v>51</v>
      </c>
      <c r="E163" s="72" t="s">
        <v>232</v>
      </c>
      <c r="F163" s="37" t="s">
        <v>233</v>
      </c>
      <c r="G163" s="36" t="s">
        <v>180</v>
      </c>
      <c r="H163" s="74" t="s">
        <v>42</v>
      </c>
      <c r="I163" s="36">
        <v>90609</v>
      </c>
      <c r="J163" s="75">
        <f t="shared" si="31"/>
        <v>1258.46</v>
      </c>
      <c r="K163" s="102">
        <v>3.6</v>
      </c>
      <c r="L163" s="77">
        <f t="shared" si="32"/>
        <v>4530</v>
      </c>
      <c r="M163" s="102"/>
      <c r="N163" s="102"/>
      <c r="O163" s="102"/>
      <c r="P163" s="102"/>
      <c r="Q163" s="77">
        <f t="shared" si="33"/>
        <v>0</v>
      </c>
      <c r="R163" s="102"/>
      <c r="S163" s="102"/>
      <c r="T163" s="77"/>
      <c r="U163" s="77">
        <f t="shared" si="28"/>
        <v>453</v>
      </c>
      <c r="V163" s="77">
        <f t="shared" si="29"/>
        <v>4983</v>
      </c>
    </row>
    <row r="164" spans="1:22" s="44" customFormat="1" ht="38.25">
      <c r="A164" s="102">
        <v>15</v>
      </c>
      <c r="B164" s="37" t="s">
        <v>49</v>
      </c>
      <c r="C164" s="85" t="s">
        <v>378</v>
      </c>
      <c r="D164" s="102" t="s">
        <v>51</v>
      </c>
      <c r="E164" s="94"/>
      <c r="F164" s="362" t="s">
        <v>539</v>
      </c>
      <c r="G164" s="337"/>
      <c r="H164" s="82" t="s">
        <v>42</v>
      </c>
      <c r="I164" s="82">
        <v>85653</v>
      </c>
      <c r="J164" s="75">
        <f t="shared" si="31"/>
        <v>1189.6300000000001</v>
      </c>
      <c r="K164" s="102">
        <f>7.2+3.6+10+33.8</f>
        <v>54.6</v>
      </c>
      <c r="L164" s="77">
        <f t="shared" si="32"/>
        <v>64954</v>
      </c>
      <c r="M164" s="102"/>
      <c r="N164" s="102"/>
      <c r="O164" s="102"/>
      <c r="P164" s="102"/>
      <c r="Q164" s="77">
        <f t="shared" si="33"/>
        <v>0</v>
      </c>
      <c r="R164" s="102"/>
      <c r="S164" s="102"/>
      <c r="T164" s="77"/>
      <c r="U164" s="77">
        <f t="shared" si="28"/>
        <v>6495</v>
      </c>
      <c r="V164" s="77">
        <f t="shared" si="29"/>
        <v>71449</v>
      </c>
    </row>
    <row r="165" spans="1:22" s="44" customFormat="1">
      <c r="A165" s="104"/>
      <c r="B165" s="104" t="s">
        <v>8</v>
      </c>
      <c r="C165" s="102"/>
      <c r="D165" s="102"/>
      <c r="E165" s="102"/>
      <c r="F165" s="102"/>
      <c r="G165" s="104"/>
      <c r="H165" s="102"/>
      <c r="I165" s="102"/>
      <c r="J165" s="75"/>
      <c r="K165" s="76">
        <f>SUM(K150:K164)</f>
        <v>161</v>
      </c>
      <c r="L165" s="76">
        <f t="shared" ref="L165:V165" si="34">SUM(L150:L164)</f>
        <v>196348</v>
      </c>
      <c r="M165" s="76">
        <f t="shared" si="34"/>
        <v>4424</v>
      </c>
      <c r="N165" s="76">
        <f t="shared" si="34"/>
        <v>4424</v>
      </c>
      <c r="O165" s="76">
        <f t="shared" si="34"/>
        <v>70</v>
      </c>
      <c r="P165" s="75">
        <f t="shared" si="34"/>
        <v>7.92</v>
      </c>
      <c r="Q165" s="76">
        <f t="shared" si="34"/>
        <v>435</v>
      </c>
      <c r="R165" s="76">
        <f t="shared" si="34"/>
        <v>0</v>
      </c>
      <c r="S165" s="76">
        <f t="shared" si="34"/>
        <v>0</v>
      </c>
      <c r="T165" s="76">
        <f t="shared" si="34"/>
        <v>0</v>
      </c>
      <c r="U165" s="76">
        <f t="shared" si="34"/>
        <v>19635</v>
      </c>
      <c r="V165" s="76">
        <f t="shared" si="34"/>
        <v>225266</v>
      </c>
    </row>
    <row r="166" spans="1:22" s="44" customFormat="1">
      <c r="A166" s="95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6" t="s">
        <v>213</v>
      </c>
      <c r="P166" s="96"/>
      <c r="Q166" s="96"/>
      <c r="R166" s="96"/>
      <c r="S166" s="97"/>
      <c r="T166" s="97"/>
      <c r="U166" s="98"/>
      <c r="V166" s="98"/>
    </row>
    <row r="167" spans="1:22" s="44" customFormat="1">
      <c r="A167" s="99" t="s">
        <v>0</v>
      </c>
      <c r="B167" s="99"/>
      <c r="C167" s="99"/>
      <c r="D167" s="99"/>
      <c r="E167" s="100"/>
      <c r="F167" s="100"/>
      <c r="G167" s="100"/>
      <c r="H167" s="100"/>
      <c r="I167" s="100"/>
      <c r="J167" s="100"/>
      <c r="K167" s="100"/>
      <c r="L167" s="100"/>
      <c r="M167" s="100"/>
      <c r="N167" s="69" t="s">
        <v>1</v>
      </c>
      <c r="O167" s="69"/>
      <c r="P167" s="69"/>
      <c r="Q167" s="69"/>
      <c r="R167" s="69"/>
      <c r="S167" s="69"/>
      <c r="T167" s="69"/>
      <c r="U167" s="70"/>
      <c r="V167" s="70"/>
    </row>
    <row r="168" spans="1:22" s="44" customFormat="1">
      <c r="A168" s="99" t="s">
        <v>2</v>
      </c>
      <c r="B168" s="99"/>
      <c r="C168" s="99"/>
      <c r="D168" s="99"/>
      <c r="E168" s="100"/>
      <c r="F168" s="100"/>
      <c r="G168" s="100"/>
      <c r="H168" s="100"/>
      <c r="I168" s="100"/>
      <c r="J168" s="100"/>
      <c r="K168" s="100"/>
      <c r="L168" s="100"/>
      <c r="M168" s="100"/>
      <c r="N168" s="69" t="s">
        <v>3</v>
      </c>
      <c r="O168" s="69"/>
      <c r="P168" s="69"/>
      <c r="Q168" s="69"/>
      <c r="R168" s="69"/>
      <c r="S168" s="69"/>
      <c r="T168" s="69"/>
      <c r="U168" s="70"/>
      <c r="V168" s="70"/>
    </row>
    <row r="169" spans="1:22" s="44" customFormat="1">
      <c r="A169" s="99"/>
      <c r="B169" s="99"/>
      <c r="C169" s="99"/>
      <c r="D169" s="99"/>
      <c r="E169" s="100"/>
      <c r="F169" s="100"/>
      <c r="G169" s="100"/>
      <c r="H169" s="100"/>
      <c r="I169" s="100"/>
      <c r="J169" s="100"/>
      <c r="K169" s="100"/>
      <c r="L169" s="100"/>
      <c r="M169" s="100"/>
      <c r="N169" s="68" t="s">
        <v>4</v>
      </c>
      <c r="O169" s="68"/>
      <c r="P169" s="68"/>
      <c r="Q169" s="68"/>
      <c r="R169" s="68"/>
      <c r="S169" s="68"/>
      <c r="T169" s="68"/>
      <c r="U169" s="70"/>
      <c r="V169" s="70"/>
    </row>
    <row r="170" spans="1:22" s="44" customFormat="1">
      <c r="A170" s="99" t="s">
        <v>5</v>
      </c>
      <c r="B170" s="99"/>
      <c r="C170" s="99" t="s">
        <v>6</v>
      </c>
      <c r="D170" s="99"/>
      <c r="E170" s="462" t="s">
        <v>183</v>
      </c>
      <c r="F170" s="462"/>
      <c r="G170" s="462"/>
      <c r="H170" s="462"/>
      <c r="I170" s="462"/>
      <c r="J170" s="462"/>
      <c r="K170" s="462"/>
      <c r="L170" s="462"/>
      <c r="M170" s="70"/>
      <c r="N170" s="69" t="s">
        <v>139</v>
      </c>
      <c r="O170" s="69"/>
      <c r="P170" s="69"/>
      <c r="Q170" s="69"/>
      <c r="R170" s="69"/>
      <c r="S170" s="69"/>
      <c r="T170" s="69"/>
      <c r="U170" s="70"/>
      <c r="V170" s="70"/>
    </row>
    <row r="171" spans="1:22" s="44" customFormat="1">
      <c r="A171" s="99"/>
      <c r="B171" s="99"/>
      <c r="C171" s="99"/>
      <c r="D171" s="99"/>
      <c r="E171" s="463" t="s">
        <v>184</v>
      </c>
      <c r="F171" s="463"/>
      <c r="G171" s="463"/>
      <c r="H171" s="463"/>
      <c r="I171" s="463"/>
      <c r="J171" s="463"/>
      <c r="K171" s="463"/>
      <c r="L171" s="463"/>
      <c r="M171" s="463"/>
      <c r="N171" s="100"/>
      <c r="O171" s="100"/>
      <c r="P171" s="100"/>
      <c r="Q171" s="100"/>
      <c r="R171" s="100"/>
      <c r="S171" s="100"/>
      <c r="T171" s="100"/>
      <c r="U171" s="100"/>
      <c r="V171" s="70"/>
    </row>
    <row r="172" spans="1:22" s="44" customFormat="1">
      <c r="A172" s="100"/>
      <c r="B172" s="100"/>
      <c r="C172" s="100"/>
      <c r="D172" s="100"/>
      <c r="E172" s="464" t="s">
        <v>219</v>
      </c>
      <c r="F172" s="464"/>
      <c r="G172" s="464"/>
      <c r="H172" s="464"/>
      <c r="I172" s="464"/>
      <c r="J172" s="464"/>
      <c r="K172" s="464"/>
      <c r="L172" s="464"/>
      <c r="M172" s="464"/>
      <c r="N172" s="100"/>
      <c r="O172" s="100"/>
      <c r="P172" s="100"/>
      <c r="Q172" s="100"/>
      <c r="R172" s="100"/>
      <c r="S172" s="100"/>
      <c r="T172" s="100"/>
      <c r="U172" s="100"/>
      <c r="V172" s="70"/>
    </row>
    <row r="173" spans="1:22" s="44" customFormat="1">
      <c r="A173" s="100"/>
      <c r="B173" s="100"/>
      <c r="C173" s="100"/>
      <c r="D173" s="100"/>
      <c r="E173" s="464" t="s">
        <v>7</v>
      </c>
      <c r="F173" s="464"/>
      <c r="G173" s="464"/>
      <c r="H173" s="464"/>
      <c r="I173" s="464"/>
      <c r="J173" s="464"/>
      <c r="K173" s="464"/>
      <c r="L173" s="464"/>
      <c r="M173" s="464"/>
      <c r="N173" s="100"/>
      <c r="O173" s="100"/>
      <c r="P173" s="100"/>
      <c r="Q173" s="100"/>
      <c r="R173" s="100"/>
      <c r="S173" s="100"/>
      <c r="T173" s="100"/>
      <c r="U173" s="100"/>
      <c r="V173" s="70"/>
    </row>
    <row r="174" spans="1:22" s="44" customFormat="1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 t="s">
        <v>185</v>
      </c>
      <c r="R174" s="100"/>
      <c r="S174" s="100"/>
      <c r="T174" s="100"/>
      <c r="U174" s="100"/>
      <c r="V174" s="70"/>
    </row>
    <row r="175" spans="1:22" s="44" customFormat="1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 t="s">
        <v>265</v>
      </c>
      <c r="R175" s="100"/>
      <c r="S175" s="100"/>
      <c r="T175" s="100"/>
      <c r="U175" s="100"/>
      <c r="V175" s="70"/>
    </row>
    <row r="176" spans="1:22" s="44" customFormat="1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 t="s">
        <v>379</v>
      </c>
      <c r="L176" s="70"/>
      <c r="M176" s="70"/>
      <c r="N176" s="70"/>
      <c r="O176" s="70"/>
      <c r="P176" s="70"/>
      <c r="Q176" s="70" t="s">
        <v>186</v>
      </c>
      <c r="R176" s="70"/>
      <c r="S176" s="70"/>
      <c r="T176" s="70" t="s">
        <v>340</v>
      </c>
      <c r="U176" s="70"/>
      <c r="V176" s="70"/>
    </row>
    <row r="177" spans="1:22" s="44" customFormat="1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 t="s">
        <v>188</v>
      </c>
      <c r="R177" s="70"/>
      <c r="S177" s="70"/>
      <c r="T177" s="70">
        <v>2</v>
      </c>
      <c r="U177" s="70"/>
      <c r="V177" s="70"/>
    </row>
    <row r="178" spans="1:22" s="44" customFormat="1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 t="s">
        <v>189</v>
      </c>
      <c r="R178" s="70"/>
      <c r="S178" s="70"/>
      <c r="T178" s="70">
        <v>18</v>
      </c>
      <c r="U178" s="70" t="s">
        <v>190</v>
      </c>
      <c r="V178" s="70"/>
    </row>
    <row r="179" spans="1:22" s="44" customFormat="1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 t="s">
        <v>191</v>
      </c>
      <c r="R179" s="70"/>
      <c r="S179" s="70"/>
      <c r="T179" s="70">
        <v>18</v>
      </c>
      <c r="U179" s="70">
        <f>T179*100/T178</f>
        <v>100</v>
      </c>
      <c r="V179" s="70" t="s">
        <v>17</v>
      </c>
    </row>
    <row r="180" spans="1:22" s="44" customFormat="1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 t="s">
        <v>192</v>
      </c>
      <c r="R180" s="70"/>
      <c r="S180" s="70"/>
      <c r="T180" s="70">
        <v>0</v>
      </c>
      <c r="U180" s="70">
        <f>T180*100/T178</f>
        <v>0</v>
      </c>
      <c r="V180" s="70" t="s">
        <v>17</v>
      </c>
    </row>
    <row r="181" spans="1:22" s="44" customFormat="1" ht="12" customHeight="1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 t="s">
        <v>193</v>
      </c>
      <c r="R181" s="70"/>
      <c r="S181" s="70"/>
      <c r="T181" s="324">
        <f>K194</f>
        <v>154.6</v>
      </c>
      <c r="U181" s="70"/>
      <c r="V181" s="70"/>
    </row>
    <row r="182" spans="1:22" s="44" customFormat="1" ht="33" customHeight="1">
      <c r="A182" s="70"/>
      <c r="B182" s="70" t="s">
        <v>381</v>
      </c>
      <c r="C182" s="70" t="s">
        <v>341</v>
      </c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</row>
    <row r="183" spans="1:22" s="44" customFormat="1" ht="41.25" customHeight="1">
      <c r="A183" s="459" t="s">
        <v>195</v>
      </c>
      <c r="B183" s="459" t="s">
        <v>196</v>
      </c>
      <c r="C183" s="459" t="s">
        <v>197</v>
      </c>
      <c r="D183" s="459" t="s">
        <v>198</v>
      </c>
      <c r="E183" s="459" t="s">
        <v>10</v>
      </c>
      <c r="F183" s="459" t="s">
        <v>199</v>
      </c>
      <c r="G183" s="459" t="s">
        <v>200</v>
      </c>
      <c r="H183" s="459" t="s">
        <v>201</v>
      </c>
      <c r="I183" s="459" t="s">
        <v>202</v>
      </c>
      <c r="J183" s="459" t="s">
        <v>11</v>
      </c>
      <c r="K183" s="459" t="s">
        <v>203</v>
      </c>
      <c r="L183" s="459" t="s">
        <v>12</v>
      </c>
      <c r="M183" s="458" t="s">
        <v>204</v>
      </c>
      <c r="N183" s="458"/>
      <c r="O183" s="458"/>
      <c r="P183" s="458"/>
      <c r="Q183" s="458"/>
      <c r="R183" s="458"/>
      <c r="S183" s="458"/>
      <c r="T183" s="458"/>
      <c r="U183" s="459" t="s">
        <v>205</v>
      </c>
      <c r="V183" s="459" t="s">
        <v>206</v>
      </c>
    </row>
    <row r="184" spans="1:22" s="44" customFormat="1" ht="63" customHeight="1">
      <c r="A184" s="460"/>
      <c r="B184" s="460"/>
      <c r="C184" s="460"/>
      <c r="D184" s="460"/>
      <c r="E184" s="460"/>
      <c r="F184" s="460"/>
      <c r="G184" s="460"/>
      <c r="H184" s="460"/>
      <c r="I184" s="460"/>
      <c r="J184" s="460"/>
      <c r="K184" s="460"/>
      <c r="L184" s="460"/>
      <c r="M184" s="459" t="s">
        <v>207</v>
      </c>
      <c r="N184" s="459" t="s">
        <v>15</v>
      </c>
      <c r="O184" s="458" t="s">
        <v>16</v>
      </c>
      <c r="P184" s="458"/>
      <c r="Q184" s="458"/>
      <c r="R184" s="459" t="s">
        <v>215</v>
      </c>
      <c r="S184" s="459" t="s">
        <v>216</v>
      </c>
      <c r="T184" s="459" t="s">
        <v>217</v>
      </c>
      <c r="U184" s="460"/>
      <c r="V184" s="460"/>
    </row>
    <row r="185" spans="1:22" s="44" customFormat="1" ht="25.5">
      <c r="A185" s="461"/>
      <c r="B185" s="461"/>
      <c r="C185" s="461"/>
      <c r="D185" s="461"/>
      <c r="E185" s="461"/>
      <c r="F185" s="461"/>
      <c r="G185" s="461"/>
      <c r="H185" s="461"/>
      <c r="I185" s="461"/>
      <c r="J185" s="461"/>
      <c r="K185" s="461"/>
      <c r="L185" s="461"/>
      <c r="M185" s="461"/>
      <c r="N185" s="461"/>
      <c r="O185" s="71" t="s">
        <v>17</v>
      </c>
      <c r="P185" s="71" t="s">
        <v>18</v>
      </c>
      <c r="Q185" s="71" t="s">
        <v>19</v>
      </c>
      <c r="R185" s="461"/>
      <c r="S185" s="461"/>
      <c r="T185" s="461"/>
      <c r="U185" s="461"/>
      <c r="V185" s="461"/>
    </row>
    <row r="186" spans="1:22" s="44" customFormat="1" ht="48.75" customHeight="1">
      <c r="A186" s="79">
        <v>1</v>
      </c>
      <c r="B186" s="80"/>
      <c r="C186" s="80" t="s">
        <v>525</v>
      </c>
      <c r="D186" s="37" t="s">
        <v>51</v>
      </c>
      <c r="E186" s="80" t="s">
        <v>115</v>
      </c>
      <c r="F186" s="80" t="s">
        <v>116</v>
      </c>
      <c r="G186" s="80" t="s">
        <v>89</v>
      </c>
      <c r="H186" s="74" t="s">
        <v>25</v>
      </c>
      <c r="I186" s="82">
        <v>93971</v>
      </c>
      <c r="J186" s="75">
        <f>I186/72</f>
        <v>1305.1500000000001</v>
      </c>
      <c r="K186" s="76">
        <v>9.8000000000000007</v>
      </c>
      <c r="L186" s="77">
        <f>J186*K186</f>
        <v>12790</v>
      </c>
      <c r="M186" s="102">
        <v>4424</v>
      </c>
      <c r="N186" s="102"/>
      <c r="O186" s="102"/>
      <c r="P186" s="76"/>
      <c r="Q186" s="77">
        <f>17697*25%/72*P186</f>
        <v>0</v>
      </c>
      <c r="R186" s="77"/>
      <c r="S186" s="77"/>
      <c r="T186" s="77"/>
      <c r="U186" s="77">
        <f>L186*10%</f>
        <v>1279</v>
      </c>
      <c r="V186" s="77">
        <f>M186+N186+Q186+R186+T186+U186+S186+L186</f>
        <v>18493</v>
      </c>
    </row>
    <row r="187" spans="1:22" s="44" customFormat="1" ht="58.5" customHeight="1">
      <c r="A187" s="79">
        <v>2</v>
      </c>
      <c r="B187" s="80"/>
      <c r="C187" s="81" t="s">
        <v>382</v>
      </c>
      <c r="D187" s="37" t="s">
        <v>51</v>
      </c>
      <c r="E187" s="80" t="s">
        <v>26</v>
      </c>
      <c r="F187" s="80" t="s">
        <v>37</v>
      </c>
      <c r="G187" s="80" t="s">
        <v>142</v>
      </c>
      <c r="H187" s="82" t="s">
        <v>25</v>
      </c>
      <c r="I187" s="82">
        <v>90609</v>
      </c>
      <c r="J187" s="75">
        <f t="shared" ref="J187:J191" si="35">I187/72</f>
        <v>1258.46</v>
      </c>
      <c r="K187" s="76">
        <v>11.2</v>
      </c>
      <c r="L187" s="77">
        <f t="shared" ref="L187:L191" si="36">J187*K187</f>
        <v>14095</v>
      </c>
      <c r="M187" s="102"/>
      <c r="N187" s="102">
        <v>4424</v>
      </c>
      <c r="O187" s="102"/>
      <c r="P187" s="76"/>
      <c r="Q187" s="77">
        <f t="shared" ref="Q187" si="37">17697*25%/72*P187</f>
        <v>0</v>
      </c>
      <c r="R187" s="102"/>
      <c r="S187" s="102"/>
      <c r="T187" s="77"/>
      <c r="U187" s="77">
        <f t="shared" ref="U187:U193" si="38">L187*10%</f>
        <v>1410</v>
      </c>
      <c r="V187" s="77">
        <f t="shared" ref="V187:V193" si="39">M187+N187+Q187+R187+T187+U187+S187+L187</f>
        <v>19929</v>
      </c>
    </row>
    <row r="188" spans="1:22" s="44" customFormat="1" ht="159" customHeight="1">
      <c r="A188" s="79">
        <v>3</v>
      </c>
      <c r="B188" s="73"/>
      <c r="C188" s="81" t="s">
        <v>386</v>
      </c>
      <c r="D188" s="37" t="s">
        <v>51</v>
      </c>
      <c r="E188" s="73" t="s">
        <v>38</v>
      </c>
      <c r="F188" s="73" t="s">
        <v>54</v>
      </c>
      <c r="G188" s="73" t="s">
        <v>149</v>
      </c>
      <c r="H188" s="74" t="s">
        <v>25</v>
      </c>
      <c r="I188" s="74">
        <v>85653</v>
      </c>
      <c r="J188" s="75">
        <f t="shared" si="35"/>
        <v>1189.6300000000001</v>
      </c>
      <c r="K188" s="76">
        <f>1.8+2.8+1.8+14+5.4</f>
        <v>25.8</v>
      </c>
      <c r="L188" s="77">
        <f t="shared" si="36"/>
        <v>30692</v>
      </c>
      <c r="M188" s="102"/>
      <c r="N188" s="102"/>
      <c r="O188" s="102"/>
      <c r="P188" s="75"/>
      <c r="Q188" s="77">
        <f>17697*25%/72*P188</f>
        <v>0</v>
      </c>
      <c r="R188" s="102"/>
      <c r="S188" s="102"/>
      <c r="T188" s="77"/>
      <c r="U188" s="77">
        <f t="shared" si="38"/>
        <v>3069</v>
      </c>
      <c r="V188" s="77">
        <f t="shared" si="39"/>
        <v>33761</v>
      </c>
    </row>
    <row r="189" spans="1:22" s="44" customFormat="1" ht="61.5" customHeight="1">
      <c r="A189" s="79">
        <v>4</v>
      </c>
      <c r="B189" s="83"/>
      <c r="C189" s="81" t="s">
        <v>385</v>
      </c>
      <c r="D189" s="37" t="s">
        <v>51</v>
      </c>
      <c r="E189" s="335" t="s">
        <v>211</v>
      </c>
      <c r="F189" s="327" t="s">
        <v>234</v>
      </c>
      <c r="G189" s="80" t="s">
        <v>181</v>
      </c>
      <c r="H189" s="82" t="s">
        <v>42</v>
      </c>
      <c r="I189" s="74">
        <v>79460</v>
      </c>
      <c r="J189" s="75">
        <f t="shared" si="35"/>
        <v>1103.6099999999999</v>
      </c>
      <c r="K189" s="102">
        <f>10+9</f>
        <v>19</v>
      </c>
      <c r="L189" s="77">
        <f t="shared" si="36"/>
        <v>20969</v>
      </c>
      <c r="M189" s="102"/>
      <c r="N189" s="102"/>
      <c r="O189" s="102"/>
      <c r="P189" s="76"/>
      <c r="Q189" s="77">
        <f>17697*20%/72*P189</f>
        <v>0</v>
      </c>
      <c r="R189" s="102"/>
      <c r="S189" s="102"/>
      <c r="T189" s="77"/>
      <c r="U189" s="77">
        <f t="shared" si="38"/>
        <v>2097</v>
      </c>
      <c r="V189" s="77">
        <f t="shared" si="39"/>
        <v>23066</v>
      </c>
    </row>
    <row r="190" spans="1:22" s="44" customFormat="1" ht="63.75">
      <c r="A190" s="79">
        <v>5</v>
      </c>
      <c r="B190" s="80"/>
      <c r="C190" s="81" t="s">
        <v>383</v>
      </c>
      <c r="D190" s="37" t="s">
        <v>51</v>
      </c>
      <c r="E190" s="80" t="s">
        <v>113</v>
      </c>
      <c r="F190" s="37" t="s">
        <v>114</v>
      </c>
      <c r="G190" s="90" t="s">
        <v>167</v>
      </c>
      <c r="H190" s="82" t="s">
        <v>25</v>
      </c>
      <c r="I190" s="82">
        <v>84061</v>
      </c>
      <c r="J190" s="109">
        <f t="shared" si="35"/>
        <v>1167.51</v>
      </c>
      <c r="K190" s="76">
        <f>11.2+15.8</f>
        <v>27</v>
      </c>
      <c r="L190" s="77">
        <f t="shared" si="36"/>
        <v>31523</v>
      </c>
      <c r="M190" s="102"/>
      <c r="N190" s="102"/>
      <c r="O190" s="102"/>
      <c r="P190" s="102"/>
      <c r="Q190" s="77">
        <f t="shared" ref="Q190:Q191" si="40">17697*20%/72*P190</f>
        <v>0</v>
      </c>
      <c r="R190" s="102"/>
      <c r="S190" s="102"/>
      <c r="T190" s="77"/>
      <c r="U190" s="77">
        <f t="shared" si="38"/>
        <v>3152</v>
      </c>
      <c r="V190" s="77">
        <f t="shared" si="39"/>
        <v>34675</v>
      </c>
    </row>
    <row r="191" spans="1:22" s="44" customFormat="1" ht="29.25" customHeight="1">
      <c r="A191" s="79">
        <v>6</v>
      </c>
      <c r="B191" s="80"/>
      <c r="C191" s="81" t="s">
        <v>384</v>
      </c>
      <c r="D191" s="37" t="s">
        <v>51</v>
      </c>
      <c r="E191" s="80" t="s">
        <v>26</v>
      </c>
      <c r="F191" s="80" t="s">
        <v>37</v>
      </c>
      <c r="G191" s="80" t="s">
        <v>142</v>
      </c>
      <c r="H191" s="82" t="s">
        <v>25</v>
      </c>
      <c r="I191" s="82">
        <v>90609</v>
      </c>
      <c r="J191" s="75">
        <f t="shared" si="35"/>
        <v>1258.46</v>
      </c>
      <c r="K191" s="76">
        <v>9</v>
      </c>
      <c r="L191" s="77">
        <f t="shared" si="36"/>
        <v>11326</v>
      </c>
      <c r="M191" s="102"/>
      <c r="N191" s="102"/>
      <c r="O191" s="102"/>
      <c r="P191" s="102"/>
      <c r="Q191" s="77">
        <f t="shared" si="40"/>
        <v>0</v>
      </c>
      <c r="R191" s="102"/>
      <c r="S191" s="102"/>
      <c r="T191" s="77"/>
      <c r="U191" s="77">
        <f t="shared" si="38"/>
        <v>1133</v>
      </c>
      <c r="V191" s="77">
        <f t="shared" si="39"/>
        <v>12459</v>
      </c>
    </row>
    <row r="192" spans="1:22" s="44" customFormat="1" ht="51">
      <c r="A192" s="79">
        <v>7</v>
      </c>
      <c r="B192" s="37"/>
      <c r="C192" s="37" t="s">
        <v>84</v>
      </c>
      <c r="D192" s="37" t="s">
        <v>51</v>
      </c>
      <c r="E192" s="37" t="s">
        <v>85</v>
      </c>
      <c r="F192" s="37" t="s">
        <v>86</v>
      </c>
      <c r="G192" s="80" t="s">
        <v>177</v>
      </c>
      <c r="H192" s="82" t="s">
        <v>42</v>
      </c>
      <c r="I192" s="74">
        <v>90609</v>
      </c>
      <c r="J192" s="75">
        <f t="shared" ref="J192:J193" si="41">I192/72</f>
        <v>1258.46</v>
      </c>
      <c r="K192" s="102">
        <v>3.2</v>
      </c>
      <c r="L192" s="77">
        <f t="shared" ref="L192:L193" si="42">J192*K192</f>
        <v>4027</v>
      </c>
      <c r="M192" s="102"/>
      <c r="N192" s="102"/>
      <c r="O192" s="102"/>
      <c r="P192" s="102"/>
      <c r="Q192" s="77">
        <f t="shared" ref="Q192:Q193" si="43">17697*20%/72*P192</f>
        <v>0</v>
      </c>
      <c r="R192" s="102"/>
      <c r="S192" s="102"/>
      <c r="T192" s="77"/>
      <c r="U192" s="77">
        <f t="shared" si="38"/>
        <v>403</v>
      </c>
      <c r="V192" s="77">
        <f t="shared" si="39"/>
        <v>4430</v>
      </c>
    </row>
    <row r="193" spans="1:22" s="44" customFormat="1" ht="38.25">
      <c r="A193" s="73">
        <v>8</v>
      </c>
      <c r="B193" s="37"/>
      <c r="C193" s="85" t="s">
        <v>409</v>
      </c>
      <c r="D193" s="102" t="s">
        <v>51</v>
      </c>
      <c r="E193" s="94"/>
      <c r="F193" s="362" t="s">
        <v>539</v>
      </c>
      <c r="G193" s="337"/>
      <c r="H193" s="82" t="s">
        <v>42</v>
      </c>
      <c r="I193" s="82">
        <v>85653</v>
      </c>
      <c r="J193" s="75">
        <f t="shared" si="41"/>
        <v>1189.6300000000001</v>
      </c>
      <c r="K193" s="102">
        <f>1.4+1.4+1.8+10+35</f>
        <v>49.6</v>
      </c>
      <c r="L193" s="77">
        <f t="shared" si="42"/>
        <v>59006</v>
      </c>
      <c r="M193" s="102"/>
      <c r="N193" s="102"/>
      <c r="O193" s="102"/>
      <c r="P193" s="102"/>
      <c r="Q193" s="77">
        <f t="shared" si="43"/>
        <v>0</v>
      </c>
      <c r="R193" s="102"/>
      <c r="S193" s="102"/>
      <c r="T193" s="77"/>
      <c r="U193" s="77">
        <f t="shared" si="38"/>
        <v>5901</v>
      </c>
      <c r="V193" s="77">
        <f t="shared" si="39"/>
        <v>64907</v>
      </c>
    </row>
    <row r="194" spans="1:22" s="44" customFormat="1">
      <c r="A194" s="104"/>
      <c r="B194" s="104" t="s">
        <v>8</v>
      </c>
      <c r="C194" s="102"/>
      <c r="D194" s="102"/>
      <c r="E194" s="102"/>
      <c r="F194" s="102"/>
      <c r="G194" s="104"/>
      <c r="H194" s="102"/>
      <c r="I194" s="102"/>
      <c r="J194" s="75"/>
      <c r="K194" s="76">
        <f>SUM(K186:K193)</f>
        <v>154.6</v>
      </c>
      <c r="L194" s="76">
        <f t="shared" ref="L194:V194" si="44">SUM(L186:L193)</f>
        <v>184428</v>
      </c>
      <c r="M194" s="76">
        <f t="shared" si="44"/>
        <v>4424</v>
      </c>
      <c r="N194" s="76">
        <f t="shared" si="44"/>
        <v>4424</v>
      </c>
      <c r="O194" s="76">
        <f t="shared" si="44"/>
        <v>0</v>
      </c>
      <c r="P194" s="76">
        <f t="shared" si="44"/>
        <v>0</v>
      </c>
      <c r="Q194" s="76">
        <f t="shared" si="44"/>
        <v>0</v>
      </c>
      <c r="R194" s="76">
        <f t="shared" si="44"/>
        <v>0</v>
      </c>
      <c r="S194" s="76">
        <f t="shared" si="44"/>
        <v>0</v>
      </c>
      <c r="T194" s="76">
        <f t="shared" si="44"/>
        <v>0</v>
      </c>
      <c r="U194" s="76">
        <f t="shared" si="44"/>
        <v>18444</v>
      </c>
      <c r="V194" s="76">
        <f t="shared" si="44"/>
        <v>211720</v>
      </c>
    </row>
    <row r="195" spans="1:22" s="44" customFormat="1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6" t="s">
        <v>213</v>
      </c>
      <c r="P195" s="96"/>
      <c r="Q195" s="96"/>
      <c r="R195" s="96"/>
      <c r="S195" s="97"/>
      <c r="T195" s="97"/>
      <c r="U195" s="98"/>
      <c r="V195" s="98"/>
    </row>
    <row r="196" spans="1:22" s="44" customFormat="1">
      <c r="A196" s="99" t="s">
        <v>0</v>
      </c>
      <c r="B196" s="99"/>
      <c r="C196" s="99"/>
      <c r="D196" s="99"/>
      <c r="E196" s="100"/>
      <c r="F196" s="100"/>
      <c r="G196" s="100"/>
      <c r="H196" s="100"/>
      <c r="I196" s="100"/>
      <c r="J196" s="100"/>
      <c r="K196" s="100"/>
      <c r="L196" s="100"/>
      <c r="M196" s="100"/>
      <c r="N196" s="69" t="s">
        <v>1</v>
      </c>
      <c r="O196" s="69"/>
      <c r="P196" s="69"/>
      <c r="Q196" s="69"/>
      <c r="R196" s="69"/>
      <c r="S196" s="69"/>
      <c r="T196" s="69"/>
      <c r="U196" s="70"/>
      <c r="V196" s="70"/>
    </row>
    <row r="197" spans="1:22" s="44" customFormat="1">
      <c r="A197" s="99" t="s">
        <v>2</v>
      </c>
      <c r="B197" s="99"/>
      <c r="C197" s="99"/>
      <c r="D197" s="99"/>
      <c r="E197" s="100"/>
      <c r="F197" s="100"/>
      <c r="G197" s="100"/>
      <c r="H197" s="100"/>
      <c r="I197" s="100"/>
      <c r="J197" s="100"/>
      <c r="K197" s="100"/>
      <c r="L197" s="100"/>
      <c r="M197" s="100"/>
      <c r="N197" s="69" t="s">
        <v>3</v>
      </c>
      <c r="O197" s="69"/>
      <c r="P197" s="69"/>
      <c r="Q197" s="69"/>
      <c r="R197" s="69"/>
      <c r="S197" s="69"/>
      <c r="T197" s="69"/>
      <c r="U197" s="70"/>
      <c r="V197" s="70"/>
    </row>
    <row r="198" spans="1:22" s="44" customFormat="1">
      <c r="A198" s="99"/>
      <c r="B198" s="99"/>
      <c r="C198" s="99"/>
      <c r="D198" s="99"/>
      <c r="E198" s="100"/>
      <c r="F198" s="100"/>
      <c r="G198" s="100"/>
      <c r="H198" s="100"/>
      <c r="I198" s="100"/>
      <c r="J198" s="100"/>
      <c r="K198" s="100"/>
      <c r="L198" s="100"/>
      <c r="M198" s="100"/>
      <c r="N198" s="68" t="s">
        <v>4</v>
      </c>
      <c r="O198" s="68"/>
      <c r="P198" s="68"/>
      <c r="Q198" s="68"/>
      <c r="R198" s="68"/>
      <c r="S198" s="68"/>
      <c r="T198" s="68"/>
      <c r="U198" s="70"/>
      <c r="V198" s="70"/>
    </row>
    <row r="199" spans="1:22" s="44" customFormat="1">
      <c r="A199" s="99" t="s">
        <v>5</v>
      </c>
      <c r="B199" s="99"/>
      <c r="C199" s="99" t="s">
        <v>6</v>
      </c>
      <c r="D199" s="99"/>
      <c r="E199" s="462" t="s">
        <v>183</v>
      </c>
      <c r="F199" s="462"/>
      <c r="G199" s="462"/>
      <c r="H199" s="462"/>
      <c r="I199" s="462"/>
      <c r="J199" s="462"/>
      <c r="K199" s="462"/>
      <c r="L199" s="462"/>
      <c r="M199" s="70"/>
      <c r="N199" s="69" t="s">
        <v>139</v>
      </c>
      <c r="O199" s="69"/>
      <c r="P199" s="69"/>
      <c r="Q199" s="69"/>
      <c r="R199" s="69"/>
      <c r="S199" s="69"/>
      <c r="T199" s="69"/>
      <c r="U199" s="70"/>
      <c r="V199" s="70"/>
    </row>
    <row r="200" spans="1:22" s="44" customFormat="1">
      <c r="A200" s="99"/>
      <c r="B200" s="99"/>
      <c r="C200" s="99"/>
      <c r="D200" s="99"/>
      <c r="E200" s="463" t="s">
        <v>184</v>
      </c>
      <c r="F200" s="463"/>
      <c r="G200" s="463"/>
      <c r="H200" s="463"/>
      <c r="I200" s="463"/>
      <c r="J200" s="463"/>
      <c r="K200" s="463"/>
      <c r="L200" s="463"/>
      <c r="M200" s="463"/>
      <c r="N200" s="100"/>
      <c r="O200" s="100"/>
      <c r="P200" s="100"/>
      <c r="Q200" s="100"/>
      <c r="R200" s="100"/>
      <c r="S200" s="100"/>
      <c r="T200" s="100"/>
      <c r="U200" s="100"/>
      <c r="V200" s="70"/>
    </row>
    <row r="201" spans="1:22" s="44" customFormat="1">
      <c r="A201" s="100"/>
      <c r="B201" s="100"/>
      <c r="C201" s="100"/>
      <c r="D201" s="100"/>
      <c r="E201" s="464" t="s">
        <v>219</v>
      </c>
      <c r="F201" s="464"/>
      <c r="G201" s="464"/>
      <c r="H201" s="464"/>
      <c r="I201" s="464"/>
      <c r="J201" s="464"/>
      <c r="K201" s="464"/>
      <c r="L201" s="464"/>
      <c r="M201" s="464"/>
      <c r="N201" s="100"/>
      <c r="O201" s="100"/>
      <c r="P201" s="100"/>
      <c r="Q201" s="100"/>
      <c r="R201" s="100"/>
      <c r="S201" s="100"/>
      <c r="T201" s="100"/>
      <c r="U201" s="100"/>
      <c r="V201" s="70"/>
    </row>
    <row r="202" spans="1:22" s="44" customFormat="1">
      <c r="A202" s="100"/>
      <c r="B202" s="100"/>
      <c r="C202" s="100"/>
      <c r="D202" s="100"/>
      <c r="E202" s="464" t="s">
        <v>7</v>
      </c>
      <c r="F202" s="464"/>
      <c r="G202" s="464"/>
      <c r="H202" s="464"/>
      <c r="I202" s="464"/>
      <c r="J202" s="464"/>
      <c r="K202" s="464"/>
      <c r="L202" s="464"/>
      <c r="M202" s="464"/>
      <c r="N202" s="100"/>
      <c r="O202" s="100"/>
      <c r="P202" s="100"/>
      <c r="Q202" s="100"/>
      <c r="R202" s="100"/>
      <c r="S202" s="100"/>
      <c r="T202" s="100"/>
      <c r="U202" s="100"/>
      <c r="V202" s="70"/>
    </row>
    <row r="203" spans="1:22" s="44" customFormat="1" ht="51" customHeight="1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 t="s">
        <v>185</v>
      </c>
      <c r="R203" s="100"/>
      <c r="S203" s="100"/>
      <c r="T203" s="100"/>
      <c r="U203" s="100"/>
      <c r="V203" s="70"/>
    </row>
    <row r="204" spans="1:22" s="44" customFormat="1" ht="15.75" customHeight="1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 t="s">
        <v>265</v>
      </c>
      <c r="R204" s="100"/>
      <c r="S204" s="100"/>
      <c r="T204" s="100"/>
      <c r="U204" s="100"/>
      <c r="V204" s="70"/>
    </row>
    <row r="205" spans="1:22" s="44" customFormat="1" ht="10.5" customHeight="1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 t="s">
        <v>379</v>
      </c>
      <c r="L205" s="70"/>
      <c r="M205" s="70"/>
      <c r="N205" s="70"/>
      <c r="O205" s="70"/>
      <c r="P205" s="70"/>
      <c r="Q205" s="70" t="s">
        <v>186</v>
      </c>
      <c r="R205" s="70"/>
      <c r="S205" s="70"/>
      <c r="T205" s="70" t="s">
        <v>340</v>
      </c>
      <c r="U205" s="70"/>
      <c r="V205" s="70"/>
    </row>
    <row r="206" spans="1:22" s="44" customFormat="1" ht="10.5" customHeight="1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 t="s">
        <v>188</v>
      </c>
      <c r="R206" s="70"/>
      <c r="S206" s="70"/>
      <c r="T206" s="70">
        <v>3</v>
      </c>
      <c r="U206" s="70"/>
      <c r="V206" s="70"/>
    </row>
    <row r="207" spans="1:22" s="44" customFormat="1" ht="9.75" customHeight="1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 t="s">
        <v>189</v>
      </c>
      <c r="R207" s="70"/>
      <c r="S207" s="70"/>
      <c r="T207" s="70">
        <v>27</v>
      </c>
      <c r="U207" s="70" t="s">
        <v>190</v>
      </c>
      <c r="V207" s="70"/>
    </row>
    <row r="208" spans="1:22" s="44" customFormat="1" ht="13.5" customHeight="1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 t="s">
        <v>191</v>
      </c>
      <c r="R208" s="70"/>
      <c r="S208" s="70"/>
      <c r="T208" s="70">
        <v>25</v>
      </c>
      <c r="U208" s="338">
        <f>T208*100/T207</f>
        <v>92.59</v>
      </c>
      <c r="V208" s="70" t="s">
        <v>17</v>
      </c>
    </row>
    <row r="209" spans="1:22" s="44" customFormat="1" ht="12.75" customHeight="1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 t="s">
        <v>192</v>
      </c>
      <c r="R209" s="70"/>
      <c r="S209" s="70"/>
      <c r="T209" s="70">
        <v>2</v>
      </c>
      <c r="U209" s="338">
        <f>T209*100/T207</f>
        <v>7.41</v>
      </c>
      <c r="V209" s="70" t="s">
        <v>17</v>
      </c>
    </row>
    <row r="210" spans="1:22" s="44" customFormat="1" ht="12" customHeight="1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 t="s">
        <v>193</v>
      </c>
      <c r="R210" s="70"/>
      <c r="S210" s="70"/>
      <c r="T210" s="324">
        <f>K226</f>
        <v>173.8</v>
      </c>
      <c r="U210" s="70"/>
      <c r="V210" s="70"/>
    </row>
    <row r="211" spans="1:22" s="44" customFormat="1" ht="51" customHeight="1">
      <c r="A211" s="70"/>
      <c r="B211" s="70" t="s">
        <v>387</v>
      </c>
      <c r="C211" s="70" t="s">
        <v>341</v>
      </c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</row>
    <row r="212" spans="1:22" s="44" customFormat="1" ht="31.5" customHeight="1">
      <c r="A212" s="459" t="s">
        <v>195</v>
      </c>
      <c r="B212" s="459" t="s">
        <v>196</v>
      </c>
      <c r="C212" s="459" t="s">
        <v>197</v>
      </c>
      <c r="D212" s="459" t="s">
        <v>198</v>
      </c>
      <c r="E212" s="459" t="s">
        <v>10</v>
      </c>
      <c r="F212" s="459" t="s">
        <v>199</v>
      </c>
      <c r="G212" s="459" t="s">
        <v>200</v>
      </c>
      <c r="H212" s="459" t="s">
        <v>201</v>
      </c>
      <c r="I212" s="459" t="s">
        <v>202</v>
      </c>
      <c r="J212" s="459" t="s">
        <v>11</v>
      </c>
      <c r="K212" s="459" t="s">
        <v>203</v>
      </c>
      <c r="L212" s="459" t="s">
        <v>12</v>
      </c>
      <c r="M212" s="458" t="s">
        <v>204</v>
      </c>
      <c r="N212" s="458"/>
      <c r="O212" s="458"/>
      <c r="P212" s="458"/>
      <c r="Q212" s="458"/>
      <c r="R212" s="458"/>
      <c r="S212" s="458"/>
      <c r="T212" s="458"/>
      <c r="U212" s="459" t="s">
        <v>205</v>
      </c>
      <c r="V212" s="459" t="s">
        <v>206</v>
      </c>
    </row>
    <row r="213" spans="1:22" s="44" customFormat="1">
      <c r="A213" s="460"/>
      <c r="B213" s="460"/>
      <c r="C213" s="460"/>
      <c r="D213" s="460"/>
      <c r="E213" s="460"/>
      <c r="F213" s="460"/>
      <c r="G213" s="460"/>
      <c r="H213" s="460"/>
      <c r="I213" s="460"/>
      <c r="J213" s="460"/>
      <c r="K213" s="460"/>
      <c r="L213" s="460"/>
      <c r="M213" s="459" t="s">
        <v>207</v>
      </c>
      <c r="N213" s="459" t="s">
        <v>15</v>
      </c>
      <c r="O213" s="458" t="s">
        <v>16</v>
      </c>
      <c r="P213" s="458"/>
      <c r="Q213" s="458"/>
      <c r="R213" s="459" t="s">
        <v>215</v>
      </c>
      <c r="S213" s="459" t="s">
        <v>216</v>
      </c>
      <c r="T213" s="459" t="s">
        <v>217</v>
      </c>
      <c r="U213" s="460"/>
      <c r="V213" s="460"/>
    </row>
    <row r="214" spans="1:22" s="44" customFormat="1" ht="54.75" customHeight="1">
      <c r="A214" s="461"/>
      <c r="B214" s="461"/>
      <c r="C214" s="461"/>
      <c r="D214" s="461"/>
      <c r="E214" s="461"/>
      <c r="F214" s="461"/>
      <c r="G214" s="461"/>
      <c r="H214" s="461"/>
      <c r="I214" s="461"/>
      <c r="J214" s="461"/>
      <c r="K214" s="461"/>
      <c r="L214" s="461"/>
      <c r="M214" s="461"/>
      <c r="N214" s="461"/>
      <c r="O214" s="71" t="s">
        <v>17</v>
      </c>
      <c r="P214" s="71" t="s">
        <v>18</v>
      </c>
      <c r="Q214" s="71" t="s">
        <v>19</v>
      </c>
      <c r="R214" s="461"/>
      <c r="S214" s="461"/>
      <c r="T214" s="461"/>
      <c r="U214" s="461"/>
      <c r="V214" s="461"/>
    </row>
    <row r="215" spans="1:22" s="44" customFormat="1" ht="38.25" customHeight="1">
      <c r="A215" s="79">
        <v>1</v>
      </c>
      <c r="B215" s="84"/>
      <c r="C215" s="84" t="s">
        <v>496</v>
      </c>
      <c r="D215" s="37" t="s">
        <v>51</v>
      </c>
      <c r="E215" s="84" t="s">
        <v>101</v>
      </c>
      <c r="F215" s="84" t="s">
        <v>102</v>
      </c>
      <c r="G215" s="84" t="s">
        <v>166</v>
      </c>
      <c r="H215" s="74" t="s">
        <v>25</v>
      </c>
      <c r="I215" s="82">
        <v>92201</v>
      </c>
      <c r="J215" s="75">
        <f>I215/72</f>
        <v>1280.57</v>
      </c>
      <c r="K215" s="76">
        <v>14.4</v>
      </c>
      <c r="L215" s="77">
        <f>J215*K215</f>
        <v>18440</v>
      </c>
      <c r="M215" s="102"/>
      <c r="N215" s="102"/>
      <c r="O215" s="102"/>
      <c r="P215" s="76"/>
      <c r="Q215" s="77">
        <f>17697*25%/72*P215</f>
        <v>0</v>
      </c>
      <c r="R215" s="77"/>
      <c r="S215" s="77"/>
      <c r="T215" s="77"/>
      <c r="U215" s="77">
        <f>L215*10%</f>
        <v>1844</v>
      </c>
      <c r="V215" s="77">
        <f>M215+N215+Q215+R215+T215+U215+S215+L215</f>
        <v>20284</v>
      </c>
    </row>
    <row r="216" spans="1:22" s="44" customFormat="1" ht="38.25">
      <c r="A216" s="79">
        <v>2</v>
      </c>
      <c r="B216" s="83"/>
      <c r="C216" s="81" t="s">
        <v>131</v>
      </c>
      <c r="D216" s="37" t="s">
        <v>51</v>
      </c>
      <c r="E216" s="80" t="s">
        <v>132</v>
      </c>
      <c r="F216" s="80" t="s">
        <v>133</v>
      </c>
      <c r="G216" s="80" t="s">
        <v>175</v>
      </c>
      <c r="H216" s="74" t="s">
        <v>42</v>
      </c>
      <c r="I216" s="82">
        <v>85653</v>
      </c>
      <c r="J216" s="75">
        <f t="shared" ref="J216:J225" si="45">I216/72</f>
        <v>1189.6300000000001</v>
      </c>
      <c r="K216" s="76">
        <v>14.4</v>
      </c>
      <c r="L216" s="77">
        <f t="shared" ref="L216:L225" si="46">J216*K216</f>
        <v>17131</v>
      </c>
      <c r="M216" s="102"/>
      <c r="N216" s="102"/>
      <c r="O216" s="102"/>
      <c r="P216" s="76"/>
      <c r="Q216" s="77">
        <f t="shared" ref="Q216" si="47">17697*25%/72*P216</f>
        <v>0</v>
      </c>
      <c r="R216" s="102"/>
      <c r="S216" s="102"/>
      <c r="T216" s="77"/>
      <c r="U216" s="77">
        <f t="shared" ref="U216:U225" si="48">L216*10%</f>
        <v>1713</v>
      </c>
      <c r="V216" s="77">
        <f t="shared" ref="V216:V225" si="49">M216+N216+Q216+R216+T216+U216+S216+L216</f>
        <v>18844</v>
      </c>
    </row>
    <row r="217" spans="1:22" s="44" customFormat="1" ht="78.75" customHeight="1">
      <c r="A217" s="79">
        <v>3</v>
      </c>
      <c r="B217" s="83"/>
      <c r="C217" s="81" t="s">
        <v>345</v>
      </c>
      <c r="D217" s="37" t="s">
        <v>51</v>
      </c>
      <c r="E217" s="80" t="s">
        <v>126</v>
      </c>
      <c r="F217" s="37" t="s">
        <v>388</v>
      </c>
      <c r="G217" s="80" t="s">
        <v>41</v>
      </c>
      <c r="H217" s="82" t="s">
        <v>42</v>
      </c>
      <c r="I217" s="74">
        <v>93971</v>
      </c>
      <c r="J217" s="75">
        <f t="shared" si="45"/>
        <v>1305.1500000000001</v>
      </c>
      <c r="K217" s="76">
        <v>3.6</v>
      </c>
      <c r="L217" s="77">
        <f t="shared" si="46"/>
        <v>4699</v>
      </c>
      <c r="M217" s="102"/>
      <c r="N217" s="102"/>
      <c r="O217" s="102"/>
      <c r="P217" s="75"/>
      <c r="Q217" s="77">
        <f>17697*25%/72*P217</f>
        <v>0</v>
      </c>
      <c r="R217" s="102"/>
      <c r="S217" s="102"/>
      <c r="T217" s="77"/>
      <c r="U217" s="77">
        <f t="shared" si="48"/>
        <v>470</v>
      </c>
      <c r="V217" s="77">
        <f t="shared" si="49"/>
        <v>5169</v>
      </c>
    </row>
    <row r="218" spans="1:22" s="44" customFormat="1" ht="51">
      <c r="A218" s="79">
        <v>4</v>
      </c>
      <c r="B218" s="80"/>
      <c r="C218" s="81" t="s">
        <v>526</v>
      </c>
      <c r="D218" s="37" t="s">
        <v>51</v>
      </c>
      <c r="E218" s="80" t="s">
        <v>26</v>
      </c>
      <c r="F218" s="80" t="s">
        <v>37</v>
      </c>
      <c r="G218" s="80" t="s">
        <v>142</v>
      </c>
      <c r="H218" s="82" t="s">
        <v>25</v>
      </c>
      <c r="I218" s="82">
        <v>90609</v>
      </c>
      <c r="J218" s="75">
        <f t="shared" si="45"/>
        <v>1258.46</v>
      </c>
      <c r="K218" s="102">
        <v>20.2</v>
      </c>
      <c r="L218" s="77">
        <f t="shared" si="46"/>
        <v>25421</v>
      </c>
      <c r="M218" s="102">
        <v>4424</v>
      </c>
      <c r="N218" s="102"/>
      <c r="O218" s="102"/>
      <c r="P218" s="76"/>
      <c r="Q218" s="77">
        <f>17697*20%/72*P218</f>
        <v>0</v>
      </c>
      <c r="R218" s="102"/>
      <c r="S218" s="102"/>
      <c r="T218" s="77"/>
      <c r="U218" s="77">
        <f t="shared" si="48"/>
        <v>2542</v>
      </c>
      <c r="V218" s="77">
        <f t="shared" si="49"/>
        <v>32387</v>
      </c>
    </row>
    <row r="219" spans="1:22" s="44" customFormat="1" ht="51">
      <c r="A219" s="79">
        <v>5</v>
      </c>
      <c r="B219" s="73"/>
      <c r="C219" s="73" t="s">
        <v>389</v>
      </c>
      <c r="D219" s="37" t="s">
        <v>51</v>
      </c>
      <c r="E219" s="73" t="s">
        <v>38</v>
      </c>
      <c r="F219" s="73" t="s">
        <v>54</v>
      </c>
      <c r="G219" s="73" t="s">
        <v>149</v>
      </c>
      <c r="H219" s="74" t="s">
        <v>25</v>
      </c>
      <c r="I219" s="74">
        <v>85653</v>
      </c>
      <c r="J219" s="109">
        <f t="shared" si="45"/>
        <v>1189.6300000000001</v>
      </c>
      <c r="K219" s="76">
        <v>16.399999999999999</v>
      </c>
      <c r="L219" s="77">
        <f t="shared" si="46"/>
        <v>19510</v>
      </c>
      <c r="M219" s="102"/>
      <c r="N219" s="102"/>
      <c r="O219" s="102"/>
      <c r="P219" s="102"/>
      <c r="Q219" s="77">
        <f t="shared" ref="Q219:Q225" si="50">17697*20%/72*P219</f>
        <v>0</v>
      </c>
      <c r="R219" s="102"/>
      <c r="S219" s="102"/>
      <c r="T219" s="77"/>
      <c r="U219" s="77">
        <f t="shared" si="48"/>
        <v>1951</v>
      </c>
      <c r="V219" s="77">
        <f t="shared" si="49"/>
        <v>21461</v>
      </c>
    </row>
    <row r="220" spans="1:22" s="44" customFormat="1" ht="76.5">
      <c r="A220" s="79">
        <v>6</v>
      </c>
      <c r="B220" s="37"/>
      <c r="C220" s="81" t="s">
        <v>392</v>
      </c>
      <c r="D220" s="37" t="s">
        <v>51</v>
      </c>
      <c r="E220" s="37" t="s">
        <v>26</v>
      </c>
      <c r="F220" s="37" t="s">
        <v>104</v>
      </c>
      <c r="G220" s="73" t="s">
        <v>67</v>
      </c>
      <c r="H220" s="74" t="s">
        <v>25</v>
      </c>
      <c r="I220" s="74">
        <v>89016</v>
      </c>
      <c r="J220" s="75">
        <f t="shared" si="45"/>
        <v>1236.33</v>
      </c>
      <c r="K220" s="76">
        <f>1.8+10</f>
        <v>11.8</v>
      </c>
      <c r="L220" s="77">
        <f t="shared" si="46"/>
        <v>14589</v>
      </c>
      <c r="M220" s="102"/>
      <c r="N220" s="102"/>
      <c r="O220" s="102"/>
      <c r="P220" s="102"/>
      <c r="Q220" s="77">
        <f t="shared" si="50"/>
        <v>0</v>
      </c>
      <c r="R220" s="102"/>
      <c r="S220" s="102"/>
      <c r="T220" s="77"/>
      <c r="U220" s="77">
        <f t="shared" si="48"/>
        <v>1459</v>
      </c>
      <c r="V220" s="77">
        <f t="shared" si="49"/>
        <v>16048</v>
      </c>
    </row>
    <row r="221" spans="1:22" s="44" customFormat="1" ht="63.75">
      <c r="A221" s="79">
        <v>7</v>
      </c>
      <c r="B221" s="80"/>
      <c r="C221" s="81" t="s">
        <v>390</v>
      </c>
      <c r="D221" s="37" t="s">
        <v>51</v>
      </c>
      <c r="E221" s="37" t="s">
        <v>38</v>
      </c>
      <c r="F221" s="80" t="s">
        <v>82</v>
      </c>
      <c r="G221" s="80" t="s">
        <v>159</v>
      </c>
      <c r="H221" s="82" t="s">
        <v>25</v>
      </c>
      <c r="I221" s="82">
        <v>93971</v>
      </c>
      <c r="J221" s="75">
        <f t="shared" si="45"/>
        <v>1305.1500000000001</v>
      </c>
      <c r="K221" s="76">
        <f>8</f>
        <v>8</v>
      </c>
      <c r="L221" s="77">
        <f t="shared" si="46"/>
        <v>10441</v>
      </c>
      <c r="M221" s="102"/>
      <c r="N221" s="102"/>
      <c r="O221" s="102"/>
      <c r="P221" s="102"/>
      <c r="Q221" s="77">
        <f t="shared" si="50"/>
        <v>0</v>
      </c>
      <c r="R221" s="102"/>
      <c r="S221" s="102"/>
      <c r="T221" s="77"/>
      <c r="U221" s="77">
        <f t="shared" si="48"/>
        <v>1044</v>
      </c>
      <c r="V221" s="77">
        <f t="shared" si="49"/>
        <v>11485</v>
      </c>
    </row>
    <row r="222" spans="1:22" s="44" customFormat="1" ht="38.25">
      <c r="A222" s="79">
        <v>8</v>
      </c>
      <c r="B222" s="80"/>
      <c r="C222" s="81" t="s">
        <v>346</v>
      </c>
      <c r="D222" s="37" t="s">
        <v>51</v>
      </c>
      <c r="E222" s="80" t="s">
        <v>113</v>
      </c>
      <c r="F222" s="37" t="s">
        <v>114</v>
      </c>
      <c r="G222" s="90" t="s">
        <v>167</v>
      </c>
      <c r="H222" s="82" t="s">
        <v>25</v>
      </c>
      <c r="I222" s="82">
        <v>84061</v>
      </c>
      <c r="J222" s="75">
        <f t="shared" si="45"/>
        <v>1167.51</v>
      </c>
      <c r="K222" s="76">
        <v>25.8</v>
      </c>
      <c r="L222" s="77">
        <f t="shared" si="46"/>
        <v>30122</v>
      </c>
      <c r="M222" s="102"/>
      <c r="N222" s="102"/>
      <c r="O222" s="102"/>
      <c r="P222" s="102"/>
      <c r="Q222" s="77">
        <f t="shared" si="50"/>
        <v>0</v>
      </c>
      <c r="R222" s="102"/>
      <c r="S222" s="102"/>
      <c r="T222" s="77"/>
      <c r="U222" s="77">
        <f t="shared" si="48"/>
        <v>3012</v>
      </c>
      <c r="V222" s="77">
        <f t="shared" si="49"/>
        <v>33134</v>
      </c>
    </row>
    <row r="223" spans="1:22" s="44" customFormat="1" ht="63.75">
      <c r="A223" s="79">
        <v>9</v>
      </c>
      <c r="B223" s="83"/>
      <c r="C223" s="81" t="s">
        <v>391</v>
      </c>
      <c r="D223" s="37" t="s">
        <v>51</v>
      </c>
      <c r="E223" s="335" t="s">
        <v>211</v>
      </c>
      <c r="F223" s="327" t="s">
        <v>234</v>
      </c>
      <c r="G223" s="80" t="s">
        <v>181</v>
      </c>
      <c r="H223" s="82" t="s">
        <v>42</v>
      </c>
      <c r="I223" s="74">
        <v>79460</v>
      </c>
      <c r="J223" s="75">
        <f t="shared" si="45"/>
        <v>1103.6099999999999</v>
      </c>
      <c r="K223" s="76">
        <v>3.4</v>
      </c>
      <c r="L223" s="77">
        <f t="shared" si="46"/>
        <v>3752</v>
      </c>
      <c r="M223" s="102"/>
      <c r="N223" s="102"/>
      <c r="O223" s="102"/>
      <c r="P223" s="102"/>
      <c r="Q223" s="77">
        <f t="shared" si="50"/>
        <v>0</v>
      </c>
      <c r="R223" s="102"/>
      <c r="S223" s="102"/>
      <c r="T223" s="77"/>
      <c r="U223" s="77">
        <f t="shared" si="48"/>
        <v>375</v>
      </c>
      <c r="V223" s="77">
        <f t="shared" si="49"/>
        <v>4127</v>
      </c>
    </row>
    <row r="224" spans="1:22" s="44" customFormat="1" ht="51">
      <c r="A224" s="79">
        <v>10</v>
      </c>
      <c r="B224" s="37"/>
      <c r="C224" s="37" t="s">
        <v>84</v>
      </c>
      <c r="D224" s="37" t="s">
        <v>51</v>
      </c>
      <c r="E224" s="37" t="s">
        <v>85</v>
      </c>
      <c r="F224" s="37" t="s">
        <v>86</v>
      </c>
      <c r="G224" s="80" t="s">
        <v>177</v>
      </c>
      <c r="H224" s="82" t="s">
        <v>42</v>
      </c>
      <c r="I224" s="74">
        <v>90609</v>
      </c>
      <c r="J224" s="75">
        <f t="shared" si="45"/>
        <v>1258.46</v>
      </c>
      <c r="K224" s="76">
        <v>4.5</v>
      </c>
      <c r="L224" s="77">
        <f t="shared" si="46"/>
        <v>5663</v>
      </c>
      <c r="M224" s="102"/>
      <c r="N224" s="102"/>
      <c r="O224" s="102"/>
      <c r="P224" s="102"/>
      <c r="Q224" s="77">
        <f t="shared" si="50"/>
        <v>0</v>
      </c>
      <c r="R224" s="102"/>
      <c r="S224" s="102"/>
      <c r="T224" s="77"/>
      <c r="U224" s="77">
        <f t="shared" si="48"/>
        <v>566</v>
      </c>
      <c r="V224" s="77">
        <f t="shared" si="49"/>
        <v>6229</v>
      </c>
    </row>
    <row r="225" spans="1:22" s="44" customFormat="1" ht="38.25">
      <c r="A225" s="73">
        <v>11</v>
      </c>
      <c r="B225" s="37"/>
      <c r="C225" s="85" t="s">
        <v>408</v>
      </c>
      <c r="D225" s="102" t="s">
        <v>51</v>
      </c>
      <c r="E225" s="94"/>
      <c r="F225" s="362" t="s">
        <v>539</v>
      </c>
      <c r="G225" s="337"/>
      <c r="H225" s="82" t="s">
        <v>42</v>
      </c>
      <c r="I225" s="82">
        <v>85653</v>
      </c>
      <c r="J225" s="75">
        <f t="shared" si="45"/>
        <v>1189.6300000000001</v>
      </c>
      <c r="K225" s="102">
        <f>1.8+1.8+2.7+10+35</f>
        <v>51.3</v>
      </c>
      <c r="L225" s="77">
        <f t="shared" si="46"/>
        <v>61028</v>
      </c>
      <c r="M225" s="102"/>
      <c r="N225" s="102"/>
      <c r="O225" s="102"/>
      <c r="P225" s="102"/>
      <c r="Q225" s="77">
        <f t="shared" si="50"/>
        <v>0</v>
      </c>
      <c r="R225" s="102"/>
      <c r="S225" s="102"/>
      <c r="T225" s="77"/>
      <c r="U225" s="77">
        <f t="shared" si="48"/>
        <v>6103</v>
      </c>
      <c r="V225" s="77">
        <f t="shared" si="49"/>
        <v>67131</v>
      </c>
    </row>
    <row r="226" spans="1:22" s="44" customFormat="1">
      <c r="A226" s="104"/>
      <c r="B226" s="104" t="s">
        <v>8</v>
      </c>
      <c r="C226" s="102"/>
      <c r="D226" s="102"/>
      <c r="E226" s="102"/>
      <c r="F226" s="102"/>
      <c r="G226" s="104"/>
      <c r="H226" s="102"/>
      <c r="I226" s="102"/>
      <c r="J226" s="75"/>
      <c r="K226" s="76">
        <f>SUM(K215:K225)</f>
        <v>173.8</v>
      </c>
      <c r="L226" s="76">
        <f t="shared" ref="L226:V226" si="51">SUM(L215:L225)</f>
        <v>210796</v>
      </c>
      <c r="M226" s="76">
        <f t="shared" si="51"/>
        <v>4424</v>
      </c>
      <c r="N226" s="76">
        <f t="shared" si="51"/>
        <v>0</v>
      </c>
      <c r="O226" s="76">
        <f t="shared" si="51"/>
        <v>0</v>
      </c>
      <c r="P226" s="76">
        <f t="shared" si="51"/>
        <v>0</v>
      </c>
      <c r="Q226" s="76">
        <f t="shared" si="51"/>
        <v>0</v>
      </c>
      <c r="R226" s="76">
        <f t="shared" si="51"/>
        <v>0</v>
      </c>
      <c r="S226" s="76">
        <f t="shared" si="51"/>
        <v>0</v>
      </c>
      <c r="T226" s="76">
        <f t="shared" si="51"/>
        <v>0</v>
      </c>
      <c r="U226" s="76">
        <f t="shared" si="51"/>
        <v>21079</v>
      </c>
      <c r="V226" s="76">
        <f t="shared" si="51"/>
        <v>236299</v>
      </c>
    </row>
    <row r="227" spans="1:22" s="44" customFormat="1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6" t="s">
        <v>213</v>
      </c>
      <c r="P227" s="96"/>
      <c r="Q227" s="96"/>
      <c r="R227" s="96"/>
      <c r="S227" s="97"/>
      <c r="T227" s="97"/>
      <c r="U227" s="98"/>
      <c r="V227" s="98"/>
    </row>
    <row r="228" spans="1:22" s="44" customFormat="1">
      <c r="A228" s="99" t="s">
        <v>0</v>
      </c>
      <c r="B228" s="99"/>
      <c r="C228" s="99"/>
      <c r="D228" s="99"/>
      <c r="E228" s="100"/>
      <c r="F228" s="100"/>
      <c r="G228" s="100"/>
      <c r="H228" s="100"/>
      <c r="I228" s="100"/>
      <c r="J228" s="100"/>
      <c r="K228" s="100"/>
      <c r="L228" s="100"/>
      <c r="M228" s="100"/>
      <c r="N228" s="69" t="s">
        <v>1</v>
      </c>
      <c r="O228" s="69"/>
      <c r="P228" s="69"/>
      <c r="Q228" s="69"/>
      <c r="R228" s="69"/>
      <c r="S228" s="69"/>
      <c r="T228" s="69"/>
      <c r="U228" s="70"/>
      <c r="V228" s="70"/>
    </row>
    <row r="229" spans="1:22" s="44" customFormat="1">
      <c r="A229" s="99" t="s">
        <v>2</v>
      </c>
      <c r="B229" s="99"/>
      <c r="C229" s="99"/>
      <c r="D229" s="99"/>
      <c r="E229" s="100"/>
      <c r="F229" s="100"/>
      <c r="G229" s="100"/>
      <c r="H229" s="100"/>
      <c r="I229" s="100"/>
      <c r="J229" s="100"/>
      <c r="K229" s="100"/>
      <c r="L229" s="100"/>
      <c r="M229" s="100"/>
      <c r="N229" s="69" t="s">
        <v>3</v>
      </c>
      <c r="O229" s="69"/>
      <c r="P229" s="69"/>
      <c r="Q229" s="69"/>
      <c r="R229" s="69"/>
      <c r="S229" s="69"/>
      <c r="T229" s="69"/>
      <c r="U229" s="70"/>
      <c r="V229" s="70"/>
    </row>
    <row r="230" spans="1:22" s="44" customFormat="1">
      <c r="A230" s="99"/>
      <c r="B230" s="99"/>
      <c r="C230" s="99"/>
      <c r="D230" s="99"/>
      <c r="E230" s="100"/>
      <c r="F230" s="100"/>
      <c r="G230" s="100"/>
      <c r="H230" s="100"/>
      <c r="I230" s="100"/>
      <c r="J230" s="100"/>
      <c r="K230" s="100"/>
      <c r="L230" s="100"/>
      <c r="M230" s="100"/>
      <c r="N230" s="68" t="s">
        <v>4</v>
      </c>
      <c r="O230" s="68"/>
      <c r="P230" s="68"/>
      <c r="Q230" s="68"/>
      <c r="R230" s="68"/>
      <c r="S230" s="68"/>
      <c r="T230" s="68"/>
      <c r="U230" s="70"/>
      <c r="V230" s="70"/>
    </row>
    <row r="231" spans="1:22" s="44" customFormat="1">
      <c r="A231" s="99" t="s">
        <v>5</v>
      </c>
      <c r="B231" s="99"/>
      <c r="C231" s="99" t="s">
        <v>6</v>
      </c>
      <c r="D231" s="99"/>
      <c r="E231" s="462" t="s">
        <v>183</v>
      </c>
      <c r="F231" s="462"/>
      <c r="G231" s="462"/>
      <c r="H231" s="462"/>
      <c r="I231" s="462"/>
      <c r="J231" s="462"/>
      <c r="K231" s="462"/>
      <c r="L231" s="462"/>
      <c r="M231" s="70"/>
      <c r="N231" s="69" t="s">
        <v>139</v>
      </c>
      <c r="O231" s="69"/>
      <c r="P231" s="69"/>
      <c r="Q231" s="69"/>
      <c r="R231" s="69"/>
      <c r="S231" s="69"/>
      <c r="T231" s="69"/>
      <c r="U231" s="70"/>
      <c r="V231" s="70"/>
    </row>
    <row r="232" spans="1:22" s="44" customFormat="1">
      <c r="A232" s="99"/>
      <c r="B232" s="99"/>
      <c r="C232" s="99"/>
      <c r="D232" s="99"/>
      <c r="E232" s="463" t="s">
        <v>184</v>
      </c>
      <c r="F232" s="463"/>
      <c r="G232" s="463"/>
      <c r="H232" s="463"/>
      <c r="I232" s="463"/>
      <c r="J232" s="463"/>
      <c r="K232" s="463"/>
      <c r="L232" s="463"/>
      <c r="M232" s="463"/>
      <c r="N232" s="100"/>
      <c r="O232" s="100"/>
      <c r="P232" s="100"/>
      <c r="Q232" s="100"/>
      <c r="R232" s="100"/>
      <c r="S232" s="100"/>
      <c r="T232" s="100"/>
      <c r="U232" s="100"/>
      <c r="V232" s="70"/>
    </row>
    <row r="233" spans="1:22" s="44" customFormat="1">
      <c r="A233" s="100"/>
      <c r="B233" s="100"/>
      <c r="C233" s="100"/>
      <c r="D233" s="100"/>
      <c r="E233" s="464" t="s">
        <v>219</v>
      </c>
      <c r="F233" s="464"/>
      <c r="G233" s="464"/>
      <c r="H233" s="464"/>
      <c r="I233" s="464"/>
      <c r="J233" s="464"/>
      <c r="K233" s="464"/>
      <c r="L233" s="464"/>
      <c r="M233" s="464"/>
      <c r="N233" s="100"/>
      <c r="O233" s="100"/>
      <c r="P233" s="100"/>
      <c r="Q233" s="100"/>
      <c r="R233" s="100"/>
      <c r="S233" s="100"/>
      <c r="T233" s="100"/>
      <c r="U233" s="100"/>
      <c r="V233" s="70"/>
    </row>
    <row r="234" spans="1:22" s="44" customFormat="1">
      <c r="A234" s="100"/>
      <c r="B234" s="100"/>
      <c r="C234" s="100"/>
      <c r="D234" s="100"/>
      <c r="E234" s="464" t="s">
        <v>7</v>
      </c>
      <c r="F234" s="464"/>
      <c r="G234" s="464"/>
      <c r="H234" s="464"/>
      <c r="I234" s="464"/>
      <c r="J234" s="464"/>
      <c r="K234" s="464"/>
      <c r="L234" s="464"/>
      <c r="M234" s="464"/>
      <c r="N234" s="100"/>
      <c r="O234" s="100"/>
      <c r="P234" s="100"/>
      <c r="Q234" s="100"/>
      <c r="R234" s="100"/>
      <c r="S234" s="100"/>
      <c r="T234" s="100"/>
      <c r="U234" s="100"/>
      <c r="V234" s="70"/>
    </row>
    <row r="235" spans="1:22" s="44" customFormat="1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 t="s">
        <v>185</v>
      </c>
      <c r="R235" s="100"/>
      <c r="S235" s="100"/>
      <c r="T235" s="100"/>
      <c r="U235" s="100"/>
      <c r="V235" s="70"/>
    </row>
    <row r="236" spans="1:22" s="44" customFormat="1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 t="s">
        <v>265</v>
      </c>
      <c r="R236" s="100"/>
      <c r="S236" s="100"/>
      <c r="T236" s="100"/>
      <c r="U236" s="100"/>
      <c r="V236" s="70"/>
    </row>
    <row r="237" spans="1:22" s="44" customFormat="1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 t="s">
        <v>379</v>
      </c>
      <c r="L237" s="70"/>
      <c r="M237" s="70"/>
      <c r="N237" s="70"/>
      <c r="O237" s="70"/>
      <c r="P237" s="70"/>
      <c r="Q237" s="70" t="s">
        <v>186</v>
      </c>
      <c r="R237" s="70"/>
      <c r="S237" s="70"/>
      <c r="T237" s="70" t="s">
        <v>340</v>
      </c>
      <c r="U237" s="70"/>
      <c r="V237" s="70"/>
    </row>
    <row r="238" spans="1:22" s="44" customFormat="1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 t="s">
        <v>188</v>
      </c>
      <c r="R238" s="70"/>
      <c r="S238" s="70"/>
      <c r="T238" s="70">
        <v>3</v>
      </c>
      <c r="U238" s="70"/>
      <c r="V238" s="70"/>
    </row>
    <row r="239" spans="1:22" s="44" customFormat="1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 t="s">
        <v>189</v>
      </c>
      <c r="R239" s="70"/>
      <c r="S239" s="70"/>
      <c r="T239" s="70">
        <v>21</v>
      </c>
      <c r="U239" s="70" t="s">
        <v>190</v>
      </c>
      <c r="V239" s="70"/>
    </row>
    <row r="240" spans="1:22" s="44" customFormat="1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 t="s">
        <v>191</v>
      </c>
      <c r="R240" s="70"/>
      <c r="S240" s="70"/>
      <c r="T240" s="70">
        <v>21</v>
      </c>
      <c r="U240" s="338">
        <f>T240*100/T239</f>
        <v>100</v>
      </c>
      <c r="V240" s="70" t="s">
        <v>17</v>
      </c>
    </row>
    <row r="241" spans="1:22" s="44" customFormat="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 t="s">
        <v>192</v>
      </c>
      <c r="R241" s="70"/>
      <c r="S241" s="70"/>
      <c r="T241" s="70">
        <v>0</v>
      </c>
      <c r="U241" s="338">
        <f>T241*100/T239</f>
        <v>0</v>
      </c>
      <c r="V241" s="70" t="s">
        <v>17</v>
      </c>
    </row>
    <row r="242" spans="1:22" s="44" customFormat="1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 t="s">
        <v>193</v>
      </c>
      <c r="R242" s="70"/>
      <c r="S242" s="70"/>
      <c r="T242" s="324">
        <f>K255</f>
        <v>156</v>
      </c>
      <c r="U242" s="70"/>
      <c r="V242" s="70"/>
    </row>
    <row r="243" spans="1:22" s="44" customFormat="1">
      <c r="A243" s="70"/>
      <c r="B243" s="70" t="s">
        <v>393</v>
      </c>
      <c r="C243" s="70" t="s">
        <v>341</v>
      </c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</row>
    <row r="244" spans="1:22" s="44" customFormat="1" ht="14.25" customHeight="1">
      <c r="A244" s="459" t="s">
        <v>195</v>
      </c>
      <c r="B244" s="459" t="s">
        <v>196</v>
      </c>
      <c r="C244" s="459" t="s">
        <v>197</v>
      </c>
      <c r="D244" s="459" t="s">
        <v>198</v>
      </c>
      <c r="E244" s="459" t="s">
        <v>10</v>
      </c>
      <c r="F244" s="459" t="s">
        <v>199</v>
      </c>
      <c r="G244" s="459" t="s">
        <v>200</v>
      </c>
      <c r="H244" s="459" t="s">
        <v>201</v>
      </c>
      <c r="I244" s="459" t="s">
        <v>202</v>
      </c>
      <c r="J244" s="459" t="s">
        <v>11</v>
      </c>
      <c r="K244" s="459" t="s">
        <v>203</v>
      </c>
      <c r="L244" s="459" t="s">
        <v>12</v>
      </c>
      <c r="M244" s="458" t="s">
        <v>204</v>
      </c>
      <c r="N244" s="458"/>
      <c r="O244" s="458"/>
      <c r="P244" s="458"/>
      <c r="Q244" s="458"/>
      <c r="R244" s="458"/>
      <c r="S244" s="458"/>
      <c r="T244" s="458"/>
      <c r="U244" s="459" t="s">
        <v>205</v>
      </c>
      <c r="V244" s="459" t="s">
        <v>206</v>
      </c>
    </row>
    <row r="245" spans="1:22" s="44" customFormat="1" ht="14.25" customHeight="1">
      <c r="A245" s="460"/>
      <c r="B245" s="460"/>
      <c r="C245" s="460"/>
      <c r="D245" s="460"/>
      <c r="E245" s="460"/>
      <c r="F245" s="460"/>
      <c r="G245" s="460"/>
      <c r="H245" s="460"/>
      <c r="I245" s="460"/>
      <c r="J245" s="460"/>
      <c r="K245" s="460"/>
      <c r="L245" s="460"/>
      <c r="M245" s="459" t="s">
        <v>207</v>
      </c>
      <c r="N245" s="459" t="s">
        <v>15</v>
      </c>
      <c r="O245" s="458" t="s">
        <v>16</v>
      </c>
      <c r="P245" s="458"/>
      <c r="Q245" s="458"/>
      <c r="R245" s="459" t="s">
        <v>215</v>
      </c>
      <c r="S245" s="459" t="s">
        <v>216</v>
      </c>
      <c r="T245" s="459" t="s">
        <v>217</v>
      </c>
      <c r="U245" s="460"/>
      <c r="V245" s="460"/>
    </row>
    <row r="246" spans="1:22" s="44" customFormat="1" ht="69" customHeight="1">
      <c r="A246" s="461"/>
      <c r="B246" s="461"/>
      <c r="C246" s="461"/>
      <c r="D246" s="461"/>
      <c r="E246" s="461"/>
      <c r="F246" s="461"/>
      <c r="G246" s="461"/>
      <c r="H246" s="461"/>
      <c r="I246" s="461"/>
      <c r="J246" s="461"/>
      <c r="K246" s="461"/>
      <c r="L246" s="461"/>
      <c r="M246" s="461"/>
      <c r="N246" s="461"/>
      <c r="O246" s="71" t="s">
        <v>17</v>
      </c>
      <c r="P246" s="71" t="s">
        <v>18</v>
      </c>
      <c r="Q246" s="71" t="s">
        <v>19</v>
      </c>
      <c r="R246" s="461"/>
      <c r="S246" s="461"/>
      <c r="T246" s="461"/>
      <c r="U246" s="461"/>
      <c r="V246" s="461"/>
    </row>
    <row r="247" spans="1:22" s="44" customFormat="1" ht="39" customHeight="1">
      <c r="A247" s="79">
        <v>1</v>
      </c>
      <c r="B247" s="84"/>
      <c r="C247" s="84" t="s">
        <v>527</v>
      </c>
      <c r="D247" s="37" t="s">
        <v>51</v>
      </c>
      <c r="E247" s="84" t="s">
        <v>101</v>
      </c>
      <c r="F247" s="84" t="s">
        <v>102</v>
      </c>
      <c r="G247" s="84" t="s">
        <v>166</v>
      </c>
      <c r="H247" s="74" t="s">
        <v>25</v>
      </c>
      <c r="I247" s="82">
        <v>92201</v>
      </c>
      <c r="J247" s="75">
        <f>I247/72</f>
        <v>1280.57</v>
      </c>
      <c r="K247" s="76">
        <v>4</v>
      </c>
      <c r="L247" s="77">
        <f>J247*K247</f>
        <v>5122</v>
      </c>
      <c r="M247" s="102">
        <v>4424</v>
      </c>
      <c r="N247" s="102"/>
      <c r="O247" s="102"/>
      <c r="P247" s="76"/>
      <c r="Q247" s="77">
        <f>17697*25%/72*P247</f>
        <v>0</v>
      </c>
      <c r="R247" s="77"/>
      <c r="S247" s="77"/>
      <c r="T247" s="77"/>
      <c r="U247" s="77">
        <f>L247*10%</f>
        <v>512</v>
      </c>
      <c r="V247" s="77">
        <f>L247+M247+N247+Q247+U247</f>
        <v>10058</v>
      </c>
    </row>
    <row r="248" spans="1:22" s="44" customFormat="1" ht="51">
      <c r="A248" s="79">
        <v>2</v>
      </c>
      <c r="B248" s="80"/>
      <c r="C248" s="81" t="s">
        <v>394</v>
      </c>
      <c r="D248" s="37" t="s">
        <v>51</v>
      </c>
      <c r="E248" s="80" t="s">
        <v>26</v>
      </c>
      <c r="F248" s="80" t="s">
        <v>37</v>
      </c>
      <c r="G248" s="80" t="s">
        <v>142</v>
      </c>
      <c r="H248" s="82" t="s">
        <v>25</v>
      </c>
      <c r="I248" s="82">
        <v>90609</v>
      </c>
      <c r="J248" s="75">
        <f t="shared" ref="J248:J254" si="52">I248/72</f>
        <v>1258.46</v>
      </c>
      <c r="K248" s="76">
        <v>7</v>
      </c>
      <c r="L248" s="77">
        <f t="shared" ref="L248:L254" si="53">J248*K248</f>
        <v>8809</v>
      </c>
      <c r="M248" s="102"/>
      <c r="N248" s="102"/>
      <c r="O248" s="102"/>
      <c r="P248" s="76"/>
      <c r="Q248" s="77">
        <f>17697*20%/72*P248</f>
        <v>0</v>
      </c>
      <c r="R248" s="102"/>
      <c r="S248" s="102"/>
      <c r="T248" s="77"/>
      <c r="U248" s="77">
        <f t="shared" ref="U248:U254" si="54">L248*10%</f>
        <v>881</v>
      </c>
      <c r="V248" s="77">
        <f t="shared" ref="V248:V254" si="55">L248+M248+N248+Q248+U248</f>
        <v>9690</v>
      </c>
    </row>
    <row r="249" spans="1:22" s="44" customFormat="1" ht="63.75">
      <c r="A249" s="79">
        <v>3</v>
      </c>
      <c r="B249" s="83"/>
      <c r="C249" s="81" t="s">
        <v>395</v>
      </c>
      <c r="D249" s="37" t="s">
        <v>51</v>
      </c>
      <c r="E249" s="335" t="s">
        <v>211</v>
      </c>
      <c r="F249" s="327" t="s">
        <v>234</v>
      </c>
      <c r="G249" s="80" t="s">
        <v>181</v>
      </c>
      <c r="H249" s="82" t="s">
        <v>42</v>
      </c>
      <c r="I249" s="74">
        <v>79460</v>
      </c>
      <c r="J249" s="75">
        <f t="shared" si="52"/>
        <v>1103.6099999999999</v>
      </c>
      <c r="K249" s="76">
        <f>10.2+2</f>
        <v>12.2</v>
      </c>
      <c r="L249" s="77">
        <f t="shared" si="53"/>
        <v>13464</v>
      </c>
      <c r="M249" s="102"/>
      <c r="N249" s="102"/>
      <c r="O249" s="102"/>
      <c r="P249" s="75"/>
      <c r="Q249" s="77">
        <f>17697*25%/72*P249</f>
        <v>0</v>
      </c>
      <c r="R249" s="102"/>
      <c r="S249" s="102"/>
      <c r="T249" s="77"/>
      <c r="U249" s="77">
        <f t="shared" si="54"/>
        <v>1346</v>
      </c>
      <c r="V249" s="77">
        <f t="shared" si="55"/>
        <v>14810</v>
      </c>
    </row>
    <row r="250" spans="1:22" s="44" customFormat="1" ht="51">
      <c r="A250" s="79">
        <v>4</v>
      </c>
      <c r="B250" s="73"/>
      <c r="C250" s="73" t="s">
        <v>396</v>
      </c>
      <c r="D250" s="37" t="s">
        <v>51</v>
      </c>
      <c r="E250" s="73" t="s">
        <v>38</v>
      </c>
      <c r="F250" s="73" t="s">
        <v>54</v>
      </c>
      <c r="G250" s="73" t="s">
        <v>149</v>
      </c>
      <c r="H250" s="74" t="s">
        <v>25</v>
      </c>
      <c r="I250" s="74">
        <v>85653</v>
      </c>
      <c r="J250" s="75">
        <f t="shared" si="52"/>
        <v>1189.6300000000001</v>
      </c>
      <c r="K250" s="76">
        <v>4</v>
      </c>
      <c r="L250" s="77">
        <f t="shared" si="53"/>
        <v>4759</v>
      </c>
      <c r="M250" s="102"/>
      <c r="N250" s="102"/>
      <c r="O250" s="102"/>
      <c r="P250" s="76"/>
      <c r="Q250" s="77">
        <f>17697*20%/72*P250</f>
        <v>0</v>
      </c>
      <c r="R250" s="102"/>
      <c r="S250" s="102"/>
      <c r="T250" s="77"/>
      <c r="U250" s="77">
        <f t="shared" si="54"/>
        <v>476</v>
      </c>
      <c r="V250" s="77">
        <f t="shared" si="55"/>
        <v>5235</v>
      </c>
    </row>
    <row r="251" spans="1:22" s="44" customFormat="1" ht="51">
      <c r="A251" s="79">
        <v>5</v>
      </c>
      <c r="B251" s="80"/>
      <c r="C251" s="80" t="s">
        <v>397</v>
      </c>
      <c r="D251" s="37" t="s">
        <v>51</v>
      </c>
      <c r="E251" s="37" t="s">
        <v>87</v>
      </c>
      <c r="F251" s="80" t="s">
        <v>88</v>
      </c>
      <c r="G251" s="80" t="s">
        <v>161</v>
      </c>
      <c r="H251" s="82" t="s">
        <v>25</v>
      </c>
      <c r="I251" s="82">
        <v>93971</v>
      </c>
      <c r="J251" s="109">
        <f t="shared" si="52"/>
        <v>1305.1500000000001</v>
      </c>
      <c r="K251" s="76">
        <v>7</v>
      </c>
      <c r="L251" s="77">
        <f t="shared" si="53"/>
        <v>9136</v>
      </c>
      <c r="M251" s="102"/>
      <c r="N251" s="102"/>
      <c r="O251" s="102"/>
      <c r="P251" s="102"/>
      <c r="Q251" s="77">
        <f t="shared" ref="Q251:Q254" si="56">17697*20%/72*P251</f>
        <v>0</v>
      </c>
      <c r="R251" s="102"/>
      <c r="S251" s="102"/>
      <c r="T251" s="77"/>
      <c r="U251" s="77">
        <f t="shared" si="54"/>
        <v>914</v>
      </c>
      <c r="V251" s="77">
        <f t="shared" si="55"/>
        <v>10050</v>
      </c>
    </row>
    <row r="252" spans="1:22" s="44" customFormat="1" ht="51">
      <c r="A252" s="79">
        <v>6</v>
      </c>
      <c r="B252" s="37"/>
      <c r="C252" s="81" t="s">
        <v>398</v>
      </c>
      <c r="D252" s="37" t="s">
        <v>51</v>
      </c>
      <c r="E252" s="36" t="s">
        <v>38</v>
      </c>
      <c r="F252" s="37" t="s">
        <v>109</v>
      </c>
      <c r="G252" s="36" t="s">
        <v>168</v>
      </c>
      <c r="H252" s="82" t="s">
        <v>25</v>
      </c>
      <c r="I252" s="124">
        <v>92201</v>
      </c>
      <c r="J252" s="75">
        <f t="shared" si="52"/>
        <v>1280.57</v>
      </c>
      <c r="K252" s="76">
        <v>13.6</v>
      </c>
      <c r="L252" s="77">
        <f t="shared" si="53"/>
        <v>17416</v>
      </c>
      <c r="M252" s="102"/>
      <c r="N252" s="102">
        <v>5309</v>
      </c>
      <c r="O252" s="102"/>
      <c r="P252" s="102"/>
      <c r="Q252" s="77">
        <f t="shared" si="56"/>
        <v>0</v>
      </c>
      <c r="R252" s="102"/>
      <c r="S252" s="102"/>
      <c r="T252" s="77"/>
      <c r="U252" s="77">
        <f t="shared" si="54"/>
        <v>1742</v>
      </c>
      <c r="V252" s="77">
        <f t="shared" si="55"/>
        <v>24467</v>
      </c>
    </row>
    <row r="253" spans="1:22" s="44" customFormat="1" ht="21.75" customHeight="1">
      <c r="A253" s="79">
        <v>7</v>
      </c>
      <c r="B253" s="37"/>
      <c r="C253" s="85" t="s">
        <v>399</v>
      </c>
      <c r="D253" s="102" t="s">
        <v>51</v>
      </c>
      <c r="E253" s="94"/>
      <c r="F253" s="37"/>
      <c r="G253" s="337"/>
      <c r="H253" s="82" t="s">
        <v>42</v>
      </c>
      <c r="I253" s="82">
        <v>85653</v>
      </c>
      <c r="J253" s="75">
        <f t="shared" si="52"/>
        <v>1189.6300000000001</v>
      </c>
      <c r="K253" s="76">
        <v>5.4</v>
      </c>
      <c r="L253" s="77">
        <f t="shared" si="53"/>
        <v>6424</v>
      </c>
      <c r="M253" s="102"/>
      <c r="N253" s="102"/>
      <c r="O253" s="102"/>
      <c r="P253" s="102"/>
      <c r="Q253" s="77">
        <f t="shared" si="56"/>
        <v>0</v>
      </c>
      <c r="R253" s="102"/>
      <c r="S253" s="102"/>
      <c r="T253" s="77"/>
      <c r="U253" s="77">
        <f t="shared" si="54"/>
        <v>642</v>
      </c>
      <c r="V253" s="77">
        <f t="shared" si="55"/>
        <v>7066</v>
      </c>
    </row>
    <row r="254" spans="1:22" s="44" customFormat="1" ht="51">
      <c r="A254" s="73">
        <v>8</v>
      </c>
      <c r="B254" s="37"/>
      <c r="C254" s="85" t="s">
        <v>400</v>
      </c>
      <c r="D254" s="102" t="s">
        <v>51</v>
      </c>
      <c r="E254" s="94"/>
      <c r="F254" s="362" t="s">
        <v>539</v>
      </c>
      <c r="G254" s="337"/>
      <c r="H254" s="82" t="s">
        <v>42</v>
      </c>
      <c r="I254" s="82">
        <v>85653</v>
      </c>
      <c r="J254" s="75">
        <f t="shared" si="52"/>
        <v>1189.6300000000001</v>
      </c>
      <c r="K254" s="102">
        <f>1.6+1.6+4.2+10+21.6+7.2+56.6</f>
        <v>102.8</v>
      </c>
      <c r="L254" s="77">
        <f t="shared" si="53"/>
        <v>122294</v>
      </c>
      <c r="M254" s="102"/>
      <c r="N254" s="102"/>
      <c r="O254" s="102"/>
      <c r="P254" s="102"/>
      <c r="Q254" s="77">
        <f t="shared" si="56"/>
        <v>0</v>
      </c>
      <c r="R254" s="102"/>
      <c r="S254" s="102"/>
      <c r="T254" s="77"/>
      <c r="U254" s="77">
        <f t="shared" si="54"/>
        <v>12229</v>
      </c>
      <c r="V254" s="77">
        <f t="shared" si="55"/>
        <v>134523</v>
      </c>
    </row>
    <row r="255" spans="1:22" s="44" customFormat="1">
      <c r="A255" s="104"/>
      <c r="B255" s="104" t="s">
        <v>8</v>
      </c>
      <c r="C255" s="102"/>
      <c r="D255" s="102"/>
      <c r="E255" s="102"/>
      <c r="F255" s="102"/>
      <c r="G255" s="104"/>
      <c r="H255" s="102"/>
      <c r="I255" s="102"/>
      <c r="J255" s="75"/>
      <c r="K255" s="76">
        <f>SUM(K247:K254)</f>
        <v>156</v>
      </c>
      <c r="L255" s="76">
        <f t="shared" ref="L255" si="57">SUM(L247:L254)</f>
        <v>187424</v>
      </c>
      <c r="M255" s="76">
        <f t="shared" ref="M255" si="58">SUM(M247:M254)</f>
        <v>4424</v>
      </c>
      <c r="N255" s="76">
        <f t="shared" ref="N255" si="59">SUM(N247:N254)</f>
        <v>5309</v>
      </c>
      <c r="O255" s="76">
        <f t="shared" ref="O255" si="60">SUM(O247:O254)</f>
        <v>0</v>
      </c>
      <c r="P255" s="76">
        <f t="shared" ref="P255" si="61">SUM(P247:P254)</f>
        <v>0</v>
      </c>
      <c r="Q255" s="76">
        <f t="shared" ref="Q255" si="62">SUM(Q247:Q254)</f>
        <v>0</v>
      </c>
      <c r="R255" s="76">
        <f t="shared" ref="R255" si="63">SUM(R247:R254)</f>
        <v>0</v>
      </c>
      <c r="S255" s="76">
        <f t="shared" ref="S255" si="64">SUM(S247:S254)</f>
        <v>0</v>
      </c>
      <c r="T255" s="76">
        <f t="shared" ref="T255" si="65">SUM(T247:T254)</f>
        <v>0</v>
      </c>
      <c r="U255" s="76">
        <f t="shared" ref="U255" si="66">SUM(U247:U254)</f>
        <v>18742</v>
      </c>
      <c r="V255" s="77">
        <f>SUM(V247:V254)</f>
        <v>215899</v>
      </c>
    </row>
    <row r="256" spans="1:22" s="44" customFormat="1">
      <c r="A256" s="95"/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6" t="s">
        <v>213</v>
      </c>
      <c r="P256" s="96"/>
      <c r="Q256" s="96"/>
      <c r="R256" s="96"/>
      <c r="S256" s="97"/>
      <c r="T256" s="97"/>
      <c r="U256" s="98"/>
      <c r="V256" s="339"/>
    </row>
    <row r="257" spans="1:22" s="44" customFormat="1">
      <c r="A257" s="123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98"/>
    </row>
    <row r="258" spans="1:22" s="44" customFormat="1">
      <c r="A258" s="99" t="s">
        <v>0</v>
      </c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</row>
    <row r="259" spans="1:22" s="44" customFormat="1">
      <c r="A259" s="99" t="s">
        <v>2</v>
      </c>
      <c r="B259" s="99"/>
      <c r="C259" s="99"/>
      <c r="D259" s="99"/>
      <c r="E259" s="100"/>
      <c r="F259" s="100"/>
      <c r="G259" s="100"/>
      <c r="H259" s="100"/>
      <c r="I259" s="100"/>
      <c r="J259" s="100"/>
      <c r="K259" s="100"/>
      <c r="L259" s="100"/>
      <c r="M259" s="100"/>
      <c r="N259" s="69" t="s">
        <v>3</v>
      </c>
      <c r="O259" s="69"/>
      <c r="P259" s="69"/>
      <c r="Q259" s="69"/>
      <c r="R259" s="69"/>
      <c r="S259" s="69"/>
      <c r="T259" s="69"/>
      <c r="U259" s="70"/>
      <c r="V259" s="70"/>
    </row>
    <row r="260" spans="1:22" s="44" customFormat="1">
      <c r="A260" s="99"/>
      <c r="B260" s="99"/>
      <c r="C260" s="99"/>
      <c r="D260" s="99"/>
      <c r="E260" s="100"/>
      <c r="F260" s="100"/>
      <c r="G260" s="100"/>
      <c r="H260" s="100"/>
      <c r="I260" s="100"/>
      <c r="J260" s="100"/>
      <c r="K260" s="100"/>
      <c r="L260" s="100"/>
      <c r="M260" s="100"/>
      <c r="N260" s="68" t="s">
        <v>4</v>
      </c>
      <c r="O260" s="68"/>
      <c r="P260" s="68"/>
      <c r="Q260" s="68"/>
      <c r="R260" s="68"/>
      <c r="S260" s="68"/>
      <c r="T260" s="68"/>
      <c r="U260" s="70"/>
      <c r="V260" s="70"/>
    </row>
    <row r="261" spans="1:22" s="44" customFormat="1">
      <c r="A261" s="99" t="s">
        <v>5</v>
      </c>
      <c r="B261" s="99"/>
      <c r="C261" s="99" t="s">
        <v>6</v>
      </c>
      <c r="D261" s="99"/>
      <c r="E261" s="462" t="s">
        <v>183</v>
      </c>
      <c r="F261" s="462"/>
      <c r="G261" s="462"/>
      <c r="H261" s="462"/>
      <c r="I261" s="462"/>
      <c r="J261" s="462"/>
      <c r="K261" s="462"/>
      <c r="L261" s="462"/>
      <c r="M261" s="70"/>
      <c r="N261" s="69" t="s">
        <v>139</v>
      </c>
      <c r="O261" s="69"/>
      <c r="P261" s="69"/>
      <c r="Q261" s="69"/>
      <c r="R261" s="69"/>
      <c r="S261" s="69"/>
      <c r="T261" s="69"/>
      <c r="U261" s="70"/>
      <c r="V261" s="70"/>
    </row>
    <row r="262" spans="1:22" s="44" customFormat="1">
      <c r="A262" s="99"/>
      <c r="B262" s="99"/>
      <c r="C262" s="99"/>
      <c r="D262" s="99"/>
      <c r="E262" s="463" t="s">
        <v>184</v>
      </c>
      <c r="F262" s="463"/>
      <c r="G262" s="463"/>
      <c r="H262" s="463"/>
      <c r="I262" s="463"/>
      <c r="J262" s="463"/>
      <c r="K262" s="463"/>
      <c r="L262" s="463"/>
      <c r="M262" s="463"/>
      <c r="N262" s="100"/>
      <c r="O262" s="100"/>
      <c r="P262" s="100"/>
      <c r="Q262" s="100"/>
      <c r="R262" s="100"/>
      <c r="S262" s="100"/>
      <c r="T262" s="100"/>
      <c r="U262" s="100"/>
      <c r="V262" s="70"/>
    </row>
    <row r="263" spans="1:22" s="44" customFormat="1">
      <c r="A263" s="100"/>
      <c r="B263" s="100"/>
      <c r="C263" s="100"/>
      <c r="D263" s="100"/>
      <c r="E263" s="464" t="s">
        <v>219</v>
      </c>
      <c r="F263" s="464"/>
      <c r="G263" s="464"/>
      <c r="H263" s="464"/>
      <c r="I263" s="464"/>
      <c r="J263" s="464"/>
      <c r="K263" s="464"/>
      <c r="L263" s="464"/>
      <c r="M263" s="464"/>
      <c r="N263" s="100"/>
      <c r="O263" s="100"/>
      <c r="P263" s="100"/>
      <c r="Q263" s="100"/>
      <c r="R263" s="100"/>
      <c r="S263" s="100"/>
      <c r="T263" s="100"/>
      <c r="U263" s="100"/>
      <c r="V263" s="70"/>
    </row>
    <row r="264" spans="1:22" s="44" customFormat="1">
      <c r="A264" s="100"/>
      <c r="B264" s="100"/>
      <c r="C264" s="100"/>
      <c r="D264" s="100"/>
      <c r="E264" s="464" t="s">
        <v>7</v>
      </c>
      <c r="F264" s="464"/>
      <c r="G264" s="464"/>
      <c r="H264" s="464"/>
      <c r="I264" s="464"/>
      <c r="J264" s="464"/>
      <c r="K264" s="464"/>
      <c r="L264" s="464"/>
      <c r="M264" s="464"/>
      <c r="N264" s="100"/>
      <c r="O264" s="100"/>
      <c r="P264" s="100"/>
      <c r="Q264" s="100"/>
      <c r="R264" s="100"/>
      <c r="S264" s="100"/>
      <c r="T264" s="100"/>
      <c r="U264" s="100"/>
      <c r="V264" s="70"/>
    </row>
    <row r="265" spans="1:22" s="44" customFormat="1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 t="s">
        <v>185</v>
      </c>
      <c r="R265" s="100"/>
      <c r="S265" s="100"/>
      <c r="T265" s="100"/>
      <c r="U265" s="100"/>
      <c r="V265" s="70"/>
    </row>
    <row r="266" spans="1:22" s="44" customFormat="1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 t="s">
        <v>265</v>
      </c>
      <c r="R266" s="100"/>
      <c r="S266" s="100"/>
      <c r="T266" s="100"/>
      <c r="U266" s="100"/>
      <c r="V266" s="70"/>
    </row>
    <row r="267" spans="1:22" s="44" customFormat="1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 t="s">
        <v>379</v>
      </c>
      <c r="L267" s="70"/>
      <c r="M267" s="70"/>
      <c r="N267" s="70"/>
      <c r="O267" s="70"/>
      <c r="P267" s="70"/>
      <c r="Q267" s="70" t="s">
        <v>186</v>
      </c>
      <c r="R267" s="70"/>
      <c r="S267" s="70"/>
      <c r="T267" s="70" t="s">
        <v>340</v>
      </c>
      <c r="U267" s="70"/>
      <c r="V267" s="70"/>
    </row>
    <row r="268" spans="1:22" s="44" customFormat="1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 t="s">
        <v>188</v>
      </c>
      <c r="R268" s="70"/>
      <c r="S268" s="70"/>
      <c r="T268" s="70">
        <v>4</v>
      </c>
      <c r="U268" s="70"/>
      <c r="V268" s="70"/>
    </row>
    <row r="269" spans="1:22" s="44" customFormat="1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 t="s">
        <v>189</v>
      </c>
      <c r="R269" s="70"/>
      <c r="S269" s="70"/>
      <c r="T269" s="70">
        <v>23</v>
      </c>
      <c r="U269" s="70" t="s">
        <v>190</v>
      </c>
      <c r="V269" s="70"/>
    </row>
    <row r="270" spans="1:22" s="44" customFormat="1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 t="s">
        <v>191</v>
      </c>
      <c r="R270" s="70"/>
      <c r="S270" s="70"/>
      <c r="T270" s="70">
        <v>23</v>
      </c>
      <c r="U270" s="338">
        <f>T270*100/T269</f>
        <v>100</v>
      </c>
      <c r="V270" s="70" t="s">
        <v>17</v>
      </c>
    </row>
    <row r="271" spans="1:22" s="44" customFormat="1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 t="s">
        <v>192</v>
      </c>
      <c r="R271" s="70"/>
      <c r="S271" s="70"/>
      <c r="T271" s="70">
        <v>0</v>
      </c>
      <c r="U271" s="338">
        <f>T271*100/T269</f>
        <v>0</v>
      </c>
      <c r="V271" s="70" t="s">
        <v>17</v>
      </c>
    </row>
    <row r="272" spans="1:22" s="44" customFormat="1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 t="s">
        <v>193</v>
      </c>
      <c r="R272" s="70"/>
      <c r="S272" s="70"/>
      <c r="T272" s="324">
        <f>K286</f>
        <v>158.6</v>
      </c>
      <c r="U272" s="70"/>
      <c r="V272" s="70"/>
    </row>
    <row r="273" spans="1:22" s="44" customFormat="1">
      <c r="A273" s="70"/>
      <c r="B273" s="70" t="s">
        <v>401</v>
      </c>
      <c r="C273" s="70" t="s">
        <v>341</v>
      </c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</row>
    <row r="274" spans="1:22" s="44" customFormat="1">
      <c r="A274" s="459" t="s">
        <v>195</v>
      </c>
      <c r="B274" s="459" t="s">
        <v>196</v>
      </c>
      <c r="C274" s="459" t="s">
        <v>197</v>
      </c>
      <c r="D274" s="459" t="s">
        <v>198</v>
      </c>
      <c r="E274" s="459" t="s">
        <v>10</v>
      </c>
      <c r="F274" s="459" t="s">
        <v>199</v>
      </c>
      <c r="G274" s="459" t="s">
        <v>200</v>
      </c>
      <c r="H274" s="459" t="s">
        <v>201</v>
      </c>
      <c r="I274" s="459" t="s">
        <v>202</v>
      </c>
      <c r="J274" s="459" t="s">
        <v>11</v>
      </c>
      <c r="K274" s="459" t="s">
        <v>203</v>
      </c>
      <c r="L274" s="459" t="s">
        <v>12</v>
      </c>
      <c r="M274" s="458" t="s">
        <v>204</v>
      </c>
      <c r="N274" s="458"/>
      <c r="O274" s="458"/>
      <c r="P274" s="458"/>
      <c r="Q274" s="458"/>
      <c r="R274" s="458"/>
      <c r="S274" s="458"/>
      <c r="T274" s="458"/>
      <c r="U274" s="459" t="s">
        <v>205</v>
      </c>
      <c r="V274" s="459" t="s">
        <v>206</v>
      </c>
    </row>
    <row r="275" spans="1:22" s="44" customFormat="1">
      <c r="A275" s="460"/>
      <c r="B275" s="460"/>
      <c r="C275" s="460"/>
      <c r="D275" s="460"/>
      <c r="E275" s="460"/>
      <c r="F275" s="460"/>
      <c r="G275" s="460"/>
      <c r="H275" s="460"/>
      <c r="I275" s="460"/>
      <c r="J275" s="460"/>
      <c r="K275" s="460"/>
      <c r="L275" s="460"/>
      <c r="M275" s="459" t="s">
        <v>207</v>
      </c>
      <c r="N275" s="459" t="s">
        <v>15</v>
      </c>
      <c r="O275" s="458" t="s">
        <v>16</v>
      </c>
      <c r="P275" s="458"/>
      <c r="Q275" s="458"/>
      <c r="R275" s="459" t="s">
        <v>215</v>
      </c>
      <c r="S275" s="459" t="s">
        <v>216</v>
      </c>
      <c r="T275" s="459" t="s">
        <v>217</v>
      </c>
      <c r="U275" s="460"/>
      <c r="V275" s="460"/>
    </row>
    <row r="276" spans="1:22" s="44" customFormat="1" ht="67.5" customHeight="1">
      <c r="A276" s="461"/>
      <c r="B276" s="461"/>
      <c r="C276" s="461"/>
      <c r="D276" s="461"/>
      <c r="E276" s="461"/>
      <c r="F276" s="461"/>
      <c r="G276" s="461"/>
      <c r="H276" s="461"/>
      <c r="I276" s="461"/>
      <c r="J276" s="461"/>
      <c r="K276" s="461"/>
      <c r="L276" s="461"/>
      <c r="M276" s="461"/>
      <c r="N276" s="461"/>
      <c r="O276" s="71" t="s">
        <v>17</v>
      </c>
      <c r="P276" s="71" t="s">
        <v>18</v>
      </c>
      <c r="Q276" s="71" t="s">
        <v>19</v>
      </c>
      <c r="R276" s="461"/>
      <c r="S276" s="461"/>
      <c r="T276" s="461"/>
      <c r="U276" s="461"/>
      <c r="V276" s="461"/>
    </row>
    <row r="277" spans="1:22" s="44" customFormat="1" ht="25.5">
      <c r="A277" s="79">
        <v>1</v>
      </c>
      <c r="B277" s="84"/>
      <c r="C277" s="84" t="s">
        <v>402</v>
      </c>
      <c r="D277" s="37" t="s">
        <v>51</v>
      </c>
      <c r="E277" s="84" t="s">
        <v>101</v>
      </c>
      <c r="F277" s="84" t="s">
        <v>102</v>
      </c>
      <c r="G277" s="84" t="s">
        <v>166</v>
      </c>
      <c r="H277" s="74" t="s">
        <v>25</v>
      </c>
      <c r="I277" s="82">
        <v>92201</v>
      </c>
      <c r="J277" s="75">
        <f>I277/72</f>
        <v>1280.57</v>
      </c>
      <c r="K277" s="76">
        <v>3.6</v>
      </c>
      <c r="L277" s="77">
        <f>J277*K277</f>
        <v>4610</v>
      </c>
      <c r="M277" s="102"/>
      <c r="N277" s="102"/>
      <c r="O277" s="102"/>
      <c r="P277" s="76"/>
      <c r="Q277" s="77">
        <f>17697*25%/72*P277</f>
        <v>0</v>
      </c>
      <c r="R277" s="77"/>
      <c r="S277" s="77"/>
      <c r="T277" s="77"/>
      <c r="U277" s="77">
        <f>L277*10%</f>
        <v>461</v>
      </c>
      <c r="V277" s="77">
        <f>M277+N277+Q277+R277+T277+U277+S277+L277</f>
        <v>5071</v>
      </c>
    </row>
    <row r="278" spans="1:22" s="44" customFormat="1" ht="38.25">
      <c r="A278" s="79">
        <v>2</v>
      </c>
      <c r="B278" s="80"/>
      <c r="C278" s="81" t="s">
        <v>349</v>
      </c>
      <c r="D278" s="37" t="s">
        <v>51</v>
      </c>
      <c r="E278" s="80" t="s">
        <v>26</v>
      </c>
      <c r="F278" s="80" t="s">
        <v>37</v>
      </c>
      <c r="G278" s="80" t="s">
        <v>142</v>
      </c>
      <c r="H278" s="82" t="s">
        <v>25</v>
      </c>
      <c r="I278" s="82">
        <v>90609</v>
      </c>
      <c r="J278" s="75">
        <f t="shared" ref="J278:J285" si="67">I278/72</f>
        <v>1258.46</v>
      </c>
      <c r="K278" s="76">
        <v>6.8</v>
      </c>
      <c r="L278" s="77">
        <f t="shared" ref="L278:L285" si="68">J278*K278</f>
        <v>8558</v>
      </c>
      <c r="M278" s="102"/>
      <c r="N278" s="102"/>
      <c r="O278" s="102"/>
      <c r="P278" s="76"/>
      <c r="Q278" s="77">
        <f>17697*20%/72*P278</f>
        <v>0</v>
      </c>
      <c r="R278" s="102"/>
      <c r="S278" s="102"/>
      <c r="T278" s="77"/>
      <c r="U278" s="77">
        <f t="shared" ref="U278:U285" si="69">L278*10%</f>
        <v>856</v>
      </c>
      <c r="V278" s="77">
        <f t="shared" ref="V278:V285" si="70">M278+N278+Q278+R278+T278+U278+S278+L278</f>
        <v>9414</v>
      </c>
    </row>
    <row r="279" spans="1:22" s="44" customFormat="1" ht="51">
      <c r="A279" s="79">
        <v>3</v>
      </c>
      <c r="B279" s="73"/>
      <c r="C279" s="73" t="s">
        <v>403</v>
      </c>
      <c r="D279" s="37" t="s">
        <v>51</v>
      </c>
      <c r="E279" s="73" t="s">
        <v>38</v>
      </c>
      <c r="F279" s="73" t="s">
        <v>54</v>
      </c>
      <c r="G279" s="73" t="s">
        <v>149</v>
      </c>
      <c r="H279" s="74" t="s">
        <v>25</v>
      </c>
      <c r="I279" s="74">
        <v>85653</v>
      </c>
      <c r="J279" s="75">
        <f t="shared" si="67"/>
        <v>1189.6300000000001</v>
      </c>
      <c r="K279" s="76">
        <v>7</v>
      </c>
      <c r="L279" s="77">
        <f t="shared" si="68"/>
        <v>8327</v>
      </c>
      <c r="M279" s="102"/>
      <c r="N279" s="102"/>
      <c r="O279" s="102"/>
      <c r="P279" s="76"/>
      <c r="Q279" s="77"/>
      <c r="R279" s="102"/>
      <c r="S279" s="102"/>
      <c r="T279" s="77"/>
      <c r="U279" s="77">
        <f t="shared" si="69"/>
        <v>833</v>
      </c>
      <c r="V279" s="77">
        <f t="shared" si="70"/>
        <v>9160</v>
      </c>
    </row>
    <row r="280" spans="1:22" s="44" customFormat="1" ht="63.75">
      <c r="A280" s="79">
        <v>4</v>
      </c>
      <c r="B280" s="83"/>
      <c r="C280" s="81" t="s">
        <v>404</v>
      </c>
      <c r="D280" s="37" t="s">
        <v>51</v>
      </c>
      <c r="E280" s="335" t="s">
        <v>211</v>
      </c>
      <c r="F280" s="327" t="s">
        <v>234</v>
      </c>
      <c r="G280" s="80" t="s">
        <v>181</v>
      </c>
      <c r="H280" s="82" t="s">
        <v>42</v>
      </c>
      <c r="I280" s="74">
        <v>79460</v>
      </c>
      <c r="J280" s="75">
        <f t="shared" si="67"/>
        <v>1103.6099999999999</v>
      </c>
      <c r="K280" s="76">
        <f>12+1.4</f>
        <v>13.4</v>
      </c>
      <c r="L280" s="77">
        <f t="shared" si="68"/>
        <v>14788</v>
      </c>
      <c r="M280" s="102"/>
      <c r="N280" s="102"/>
      <c r="O280" s="102"/>
      <c r="P280" s="75"/>
      <c r="Q280" s="77">
        <f>17697*25%/72*P280</f>
        <v>0</v>
      </c>
      <c r="R280" s="102"/>
      <c r="S280" s="102"/>
      <c r="T280" s="77"/>
      <c r="U280" s="77">
        <f t="shared" si="69"/>
        <v>1479</v>
      </c>
      <c r="V280" s="77">
        <f t="shared" si="70"/>
        <v>16267</v>
      </c>
    </row>
    <row r="281" spans="1:22" s="44" customFormat="1" ht="51">
      <c r="A281" s="79">
        <v>5</v>
      </c>
      <c r="B281" s="80"/>
      <c r="C281" s="80" t="s">
        <v>405</v>
      </c>
      <c r="D281" s="37" t="s">
        <v>51</v>
      </c>
      <c r="E281" s="37" t="s">
        <v>87</v>
      </c>
      <c r="F281" s="80" t="s">
        <v>88</v>
      </c>
      <c r="G281" s="80" t="s">
        <v>161</v>
      </c>
      <c r="H281" s="82" t="s">
        <v>25</v>
      </c>
      <c r="I281" s="82">
        <v>93971</v>
      </c>
      <c r="J281" s="75">
        <f t="shared" si="67"/>
        <v>1305.1500000000001</v>
      </c>
      <c r="K281" s="76">
        <v>7</v>
      </c>
      <c r="L281" s="77">
        <f t="shared" si="68"/>
        <v>9136</v>
      </c>
      <c r="M281" s="102"/>
      <c r="N281" s="102"/>
      <c r="O281" s="102"/>
      <c r="P281" s="76"/>
      <c r="Q281" s="77">
        <f>17697*20%/72*P281</f>
        <v>0</v>
      </c>
      <c r="R281" s="102"/>
      <c r="S281" s="102"/>
      <c r="T281" s="77"/>
      <c r="U281" s="77">
        <f t="shared" si="69"/>
        <v>914</v>
      </c>
      <c r="V281" s="77">
        <f t="shared" si="70"/>
        <v>10050</v>
      </c>
    </row>
    <row r="282" spans="1:22" s="44" customFormat="1" ht="38.25">
      <c r="A282" s="79">
        <v>6</v>
      </c>
      <c r="B282" s="83"/>
      <c r="C282" s="81" t="s">
        <v>406</v>
      </c>
      <c r="D282" s="37" t="s">
        <v>51</v>
      </c>
      <c r="E282" s="80" t="s">
        <v>80</v>
      </c>
      <c r="F282" s="80" t="s">
        <v>130</v>
      </c>
      <c r="G282" s="80" t="s">
        <v>174</v>
      </c>
      <c r="H282" s="74" t="s">
        <v>25</v>
      </c>
      <c r="I282" s="82">
        <v>89016</v>
      </c>
      <c r="J282" s="109">
        <f t="shared" si="67"/>
        <v>1236.33</v>
      </c>
      <c r="K282" s="76">
        <v>12.6</v>
      </c>
      <c r="L282" s="77">
        <f t="shared" si="68"/>
        <v>15578</v>
      </c>
      <c r="M282" s="102"/>
      <c r="N282" s="102"/>
      <c r="O282" s="102"/>
      <c r="P282" s="102"/>
      <c r="Q282" s="77">
        <f t="shared" ref="Q282:Q285" si="71">17697*20%/72*P282</f>
        <v>0</v>
      </c>
      <c r="R282" s="102"/>
      <c r="S282" s="102"/>
      <c r="T282" s="77"/>
      <c r="U282" s="77">
        <f t="shared" si="69"/>
        <v>1558</v>
      </c>
      <c r="V282" s="77">
        <f t="shared" si="70"/>
        <v>17136</v>
      </c>
    </row>
    <row r="283" spans="1:22" s="44" customFormat="1" ht="38.25">
      <c r="A283" s="79">
        <v>7</v>
      </c>
      <c r="B283" s="80"/>
      <c r="C283" s="81" t="s">
        <v>407</v>
      </c>
      <c r="D283" s="37" t="s">
        <v>51</v>
      </c>
      <c r="E283" s="80" t="s">
        <v>113</v>
      </c>
      <c r="F283" s="37" t="s">
        <v>114</v>
      </c>
      <c r="G283" s="90" t="s">
        <v>167</v>
      </c>
      <c r="H283" s="82" t="s">
        <v>25</v>
      </c>
      <c r="I283" s="82">
        <v>84061</v>
      </c>
      <c r="J283" s="75">
        <f t="shared" si="67"/>
        <v>1167.51</v>
      </c>
      <c r="K283" s="76">
        <v>6.4</v>
      </c>
      <c r="L283" s="77">
        <f t="shared" si="68"/>
        <v>7472</v>
      </c>
      <c r="M283" s="102"/>
      <c r="N283" s="102"/>
      <c r="O283" s="102"/>
      <c r="P283" s="102"/>
      <c r="Q283" s="77">
        <f t="shared" si="71"/>
        <v>0</v>
      </c>
      <c r="R283" s="102"/>
      <c r="S283" s="102"/>
      <c r="T283" s="77"/>
      <c r="U283" s="77">
        <f t="shared" si="69"/>
        <v>747</v>
      </c>
      <c r="V283" s="77">
        <f t="shared" si="70"/>
        <v>8219</v>
      </c>
    </row>
    <row r="284" spans="1:22" s="44" customFormat="1">
      <c r="A284" s="79">
        <v>8</v>
      </c>
      <c r="B284" s="80"/>
      <c r="C284" s="334" t="s">
        <v>493</v>
      </c>
      <c r="D284" s="37"/>
      <c r="E284" s="86"/>
      <c r="F284" s="37"/>
      <c r="G284" s="340"/>
      <c r="H284" s="82"/>
      <c r="I284" s="82"/>
      <c r="J284" s="75"/>
      <c r="K284" s="76"/>
      <c r="L284" s="77"/>
      <c r="M284" s="102">
        <v>4424</v>
      </c>
      <c r="N284" s="102"/>
      <c r="O284" s="102"/>
      <c r="P284" s="102"/>
      <c r="Q284" s="77"/>
      <c r="R284" s="102"/>
      <c r="S284" s="102"/>
      <c r="T284" s="77"/>
      <c r="U284" s="77">
        <f t="shared" si="69"/>
        <v>0</v>
      </c>
      <c r="V284" s="77">
        <f t="shared" si="70"/>
        <v>4424</v>
      </c>
    </row>
    <row r="285" spans="1:22" s="44" customFormat="1" ht="38.25">
      <c r="A285" s="73">
        <v>9</v>
      </c>
      <c r="B285" s="37"/>
      <c r="C285" s="85" t="s">
        <v>410</v>
      </c>
      <c r="D285" s="102" t="s">
        <v>51</v>
      </c>
      <c r="E285" s="94"/>
      <c r="F285" s="362" t="s">
        <v>539</v>
      </c>
      <c r="G285" s="337"/>
      <c r="H285" s="82" t="s">
        <v>42</v>
      </c>
      <c r="I285" s="82">
        <v>85653</v>
      </c>
      <c r="J285" s="75">
        <f t="shared" si="67"/>
        <v>1189.6300000000001</v>
      </c>
      <c r="K285" s="102">
        <f>1.6+1.6+4.2+10+21.6+7.2+55.6</f>
        <v>101.8</v>
      </c>
      <c r="L285" s="77">
        <f t="shared" si="68"/>
        <v>121104</v>
      </c>
      <c r="M285" s="102"/>
      <c r="N285" s="102"/>
      <c r="O285" s="102"/>
      <c r="P285" s="102"/>
      <c r="Q285" s="77">
        <f t="shared" si="71"/>
        <v>0</v>
      </c>
      <c r="R285" s="102"/>
      <c r="S285" s="102"/>
      <c r="T285" s="77"/>
      <c r="U285" s="77">
        <f t="shared" si="69"/>
        <v>12110</v>
      </c>
      <c r="V285" s="77">
        <f t="shared" si="70"/>
        <v>133214</v>
      </c>
    </row>
    <row r="286" spans="1:22" s="44" customFormat="1">
      <c r="A286" s="104"/>
      <c r="B286" s="104" t="s">
        <v>8</v>
      </c>
      <c r="C286" s="102"/>
      <c r="D286" s="102"/>
      <c r="E286" s="102"/>
      <c r="F286" s="102"/>
      <c r="G286" s="104"/>
      <c r="H286" s="102"/>
      <c r="I286" s="102"/>
      <c r="J286" s="75"/>
      <c r="K286" s="76">
        <f t="shared" ref="K286:L286" si="72">SUM(K277:K285)</f>
        <v>158.6</v>
      </c>
      <c r="L286" s="76">
        <f t="shared" si="72"/>
        <v>189573</v>
      </c>
      <c r="M286" s="76">
        <f t="shared" ref="M286" si="73">SUM(M277:M285)</f>
        <v>4424</v>
      </c>
      <c r="N286" s="76">
        <f t="shared" ref="N286" si="74">SUM(N277:N285)</f>
        <v>0</v>
      </c>
      <c r="O286" s="76">
        <f t="shared" ref="O286" si="75">SUM(O277:O285)</f>
        <v>0</v>
      </c>
      <c r="P286" s="76">
        <f t="shared" ref="P286" si="76">SUM(P277:P285)</f>
        <v>0</v>
      </c>
      <c r="Q286" s="76">
        <f t="shared" ref="Q286" si="77">SUM(Q277:Q285)</f>
        <v>0</v>
      </c>
      <c r="R286" s="76">
        <f t="shared" ref="R286" si="78">SUM(R277:R285)</f>
        <v>0</v>
      </c>
      <c r="S286" s="76">
        <f t="shared" ref="S286" si="79">SUM(S277:S285)</f>
        <v>0</v>
      </c>
      <c r="T286" s="76">
        <f t="shared" ref="T286" si="80">SUM(T277:T285)</f>
        <v>0</v>
      </c>
      <c r="U286" s="76">
        <f t="shared" ref="U286" si="81">SUM(U277:U285)</f>
        <v>18958</v>
      </c>
      <c r="V286" s="76">
        <f t="shared" ref="V286" si="82">SUM(V277:V285)</f>
        <v>212955</v>
      </c>
    </row>
    <row r="287" spans="1:22" s="44" customFormat="1">
      <c r="A287" s="95"/>
      <c r="B287" s="95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6" t="s">
        <v>213</v>
      </c>
      <c r="P287" s="96"/>
      <c r="Q287" s="96"/>
      <c r="R287" s="96"/>
      <c r="S287" s="97"/>
      <c r="T287" s="97"/>
      <c r="U287" s="98"/>
      <c r="V287" s="98"/>
    </row>
    <row r="288" spans="1:22" s="44" customFormat="1">
      <c r="A288" s="123"/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</row>
    <row r="289" spans="1:22" s="44" customFormat="1">
      <c r="A289" s="123"/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</row>
    <row r="290" spans="1:22" s="44" customFormat="1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</row>
    <row r="291" spans="1:22" s="44" customFormat="1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</row>
    <row r="292" spans="1:22" s="44" customFormat="1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</row>
    <row r="293" spans="1:22" s="44" customFormat="1">
      <c r="A293" s="123"/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</row>
    <row r="294" spans="1:22" s="44" customFormat="1">
      <c r="A294" s="123"/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</row>
    <row r="295" spans="1:22" s="44" customFormat="1">
      <c r="A295" s="123"/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</row>
    <row r="296" spans="1:22" s="44" customFormat="1">
      <c r="A296" s="123"/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</row>
    <row r="297" spans="1:22" s="44" customFormat="1">
      <c r="A297" s="123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</row>
    <row r="298" spans="1:22" s="44" customFormat="1">
      <c r="A298" s="123"/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</row>
    <row r="299" spans="1:22" s="44" customFormat="1">
      <c r="A299" s="123"/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</row>
    <row r="300" spans="1:22" s="44" customFormat="1">
      <c r="A300" s="12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</row>
    <row r="301" spans="1:22" s="44" customFormat="1">
      <c r="A301" s="123"/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</row>
    <row r="302" spans="1:22" s="44" customFormat="1">
      <c r="A302" s="123"/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</row>
    <row r="303" spans="1:22" s="44" customFormat="1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</row>
    <row r="304" spans="1:22" s="44" customFormat="1">
      <c r="A304" s="123"/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</row>
    <row r="305" spans="1:22" s="44" customFormat="1">
      <c r="A305" s="12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</row>
    <row r="306" spans="1:22" s="44" customFormat="1">
      <c r="A306" s="123"/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</row>
    <row r="307" spans="1:22" s="44" customFormat="1">
      <c r="A307" s="123"/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</row>
    <row r="308" spans="1:22" s="44" customFormat="1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</row>
    <row r="309" spans="1:22" s="44" customFormat="1">
      <c r="A309" s="123"/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</row>
    <row r="310" spans="1:22" s="44" customFormat="1">
      <c r="A310" s="123"/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</row>
    <row r="311" spans="1:22" s="44" customFormat="1">
      <c r="A311" s="123"/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</row>
    <row r="312" spans="1:22" s="44" customFormat="1">
      <c r="A312" s="123"/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</row>
    <row r="313" spans="1:22" s="44" customFormat="1">
      <c r="A313" s="123"/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</row>
    <row r="314" spans="1:22" s="44" customFormat="1">
      <c r="A314" s="123"/>
      <c r="B314" s="123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</row>
    <row r="315" spans="1:22" s="44" customFormat="1">
      <c r="A315" s="123"/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</row>
    <row r="316" spans="1:22" s="44" customFormat="1">
      <c r="A316" s="123"/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</row>
    <row r="317" spans="1:22" s="44" customFormat="1">
      <c r="A317" s="12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</row>
    <row r="318" spans="1:22" s="44" customFormat="1">
      <c r="A318" s="123"/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</row>
    <row r="319" spans="1:22" s="44" customFormat="1">
      <c r="A319" s="123"/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</row>
    <row r="320" spans="1:22" s="44" customFormat="1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</row>
    <row r="321" spans="1:22" s="44" customFormat="1">
      <c r="A321" s="123"/>
      <c r="B321" s="123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</row>
    <row r="322" spans="1:22" s="44" customFormat="1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</row>
    <row r="323" spans="1:22" s="44" customFormat="1">
      <c r="A323" s="123"/>
      <c r="B323" s="123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</row>
    <row r="324" spans="1:22" s="44" customFormat="1">
      <c r="A324" s="123"/>
      <c r="B324" s="123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</row>
    <row r="325" spans="1:22" s="44" customFormat="1">
      <c r="A325" s="123"/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</row>
    <row r="326" spans="1:22" s="44" customFormat="1">
      <c r="A326" s="123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</row>
    <row r="327" spans="1:22" s="44" customFormat="1">
      <c r="A327" s="123"/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</row>
    <row r="328" spans="1:22" s="44" customFormat="1">
      <c r="A328" s="123"/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</row>
    <row r="329" spans="1:22" s="44" customFormat="1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</row>
    <row r="330" spans="1:22" s="44" customFormat="1">
      <c r="A330" s="123"/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</row>
    <row r="331" spans="1:22" s="44" customFormat="1">
      <c r="A331" s="123"/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</row>
    <row r="332" spans="1:22" s="44" customFormat="1">
      <c r="A332" s="12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</row>
    <row r="333" spans="1:22" s="44" customFormat="1">
      <c r="A333" s="123"/>
      <c r="B333" s="123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</row>
    <row r="334" spans="1:22" s="44" customFormat="1">
      <c r="A334" s="123"/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</row>
    <row r="335" spans="1:22" s="44" customFormat="1">
      <c r="A335" s="123"/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</row>
    <row r="336" spans="1:22" s="44" customFormat="1">
      <c r="A336" s="123"/>
      <c r="B336" s="123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</row>
    <row r="337" spans="1:22" s="44" customFormat="1">
      <c r="A337" s="12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</row>
    <row r="338" spans="1:22" s="44" customFormat="1">
      <c r="A338" s="123"/>
      <c r="B338" s="123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</row>
    <row r="339" spans="1:22" s="44" customFormat="1">
      <c r="A339" s="123"/>
      <c r="B339" s="123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</row>
    <row r="340" spans="1:22" s="44" customFormat="1">
      <c r="A340" s="123"/>
      <c r="B340" s="123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</row>
    <row r="341" spans="1:22" s="44" customFormat="1">
      <c r="A341" s="123"/>
      <c r="B341" s="123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</row>
    <row r="342" spans="1:22" s="44" customFormat="1">
      <c r="A342" s="123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</row>
    <row r="343" spans="1:22" s="44" customFormat="1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</row>
    <row r="344" spans="1:22" s="44" customFormat="1">
      <c r="A344" s="123"/>
      <c r="B344" s="123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</row>
    <row r="345" spans="1:22" s="44" customFormat="1">
      <c r="A345" s="123"/>
      <c r="B345" s="123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</row>
    <row r="346" spans="1:22" s="44" customFormat="1">
      <c r="A346" s="123"/>
      <c r="B346" s="123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</row>
    <row r="347" spans="1:22" s="44" customFormat="1">
      <c r="A347" s="123"/>
      <c r="B347" s="123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</row>
    <row r="348" spans="1:22" s="44" customFormat="1">
      <c r="A348" s="123"/>
      <c r="B348" s="123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</row>
    <row r="349" spans="1:22" s="44" customFormat="1">
      <c r="A349" s="12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</row>
    <row r="350" spans="1:22" s="44" customFormat="1">
      <c r="A350" s="123"/>
      <c r="B350" s="123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</row>
    <row r="351" spans="1:22" s="44" customFormat="1">
      <c r="A351" s="123"/>
      <c r="B351" s="123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</row>
    <row r="352" spans="1:22" s="44" customFormat="1">
      <c r="A352" s="123"/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</row>
    <row r="353" spans="1:22" s="14" customFormat="1">
      <c r="A353" s="341"/>
      <c r="B353" s="341"/>
      <c r="C353" s="341"/>
      <c r="D353" s="341"/>
      <c r="E353" s="341"/>
      <c r="F353" s="341"/>
      <c r="G353" s="341"/>
      <c r="H353" s="341"/>
      <c r="I353" s="341"/>
      <c r="J353" s="341"/>
      <c r="K353" s="341"/>
      <c r="L353" s="341"/>
      <c r="M353" s="341"/>
      <c r="N353" s="341"/>
      <c r="O353" s="341"/>
      <c r="P353" s="341"/>
      <c r="Q353" s="341"/>
      <c r="R353" s="341"/>
      <c r="S353" s="341"/>
      <c r="T353" s="341"/>
      <c r="U353" s="341"/>
      <c r="V353" s="341"/>
    </row>
    <row r="354" spans="1:22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</row>
    <row r="355" spans="1:22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</row>
    <row r="356" spans="1:22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</row>
    <row r="357" spans="1:22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</row>
    <row r="358" spans="1:22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</row>
    <row r="359" spans="1:22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</row>
    <row r="360" spans="1:22" ht="14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</row>
    <row r="361" spans="1:22" ht="14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</row>
    <row r="362" spans="1:22" ht="14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</row>
    <row r="363" spans="1:22" ht="14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</row>
  </sheetData>
  <mergeCells count="201">
    <mergeCell ref="U274:U276"/>
    <mergeCell ref="V274:V276"/>
    <mergeCell ref="M275:M276"/>
    <mergeCell ref="N275:N276"/>
    <mergeCell ref="O275:Q275"/>
    <mergeCell ref="R275:R276"/>
    <mergeCell ref="S275:S276"/>
    <mergeCell ref="T275:T276"/>
    <mergeCell ref="E262:M262"/>
    <mergeCell ref="E263:M263"/>
    <mergeCell ref="E264:M264"/>
    <mergeCell ref="J274:J276"/>
    <mergeCell ref="K274:K276"/>
    <mergeCell ref="L274:L276"/>
    <mergeCell ref="M274:T274"/>
    <mergeCell ref="E261:L261"/>
    <mergeCell ref="E232:M232"/>
    <mergeCell ref="E233:M233"/>
    <mergeCell ref="E234:M234"/>
    <mergeCell ref="J244:J246"/>
    <mergeCell ref="K244:K246"/>
    <mergeCell ref="L244:L246"/>
    <mergeCell ref="M244:T244"/>
    <mergeCell ref="A274:A276"/>
    <mergeCell ref="B274:B276"/>
    <mergeCell ref="C274:C276"/>
    <mergeCell ref="D274:D276"/>
    <mergeCell ref="E274:E276"/>
    <mergeCell ref="F274:F276"/>
    <mergeCell ref="G274:G276"/>
    <mergeCell ref="H274:H276"/>
    <mergeCell ref="I274:I276"/>
    <mergeCell ref="A244:A246"/>
    <mergeCell ref="B244:B246"/>
    <mergeCell ref="C244:C246"/>
    <mergeCell ref="D244:D246"/>
    <mergeCell ref="E244:E246"/>
    <mergeCell ref="F244:F246"/>
    <mergeCell ref="G244:G246"/>
    <mergeCell ref="H244:H246"/>
    <mergeCell ref="I244:I246"/>
    <mergeCell ref="V244:V246"/>
    <mergeCell ref="E231:L231"/>
    <mergeCell ref="U212:U214"/>
    <mergeCell ref="V212:V214"/>
    <mergeCell ref="M213:M214"/>
    <mergeCell ref="N213:N214"/>
    <mergeCell ref="O213:Q213"/>
    <mergeCell ref="R213:R214"/>
    <mergeCell ref="S213:S214"/>
    <mergeCell ref="T213:T214"/>
    <mergeCell ref="U244:U246"/>
    <mergeCell ref="M245:M246"/>
    <mergeCell ref="N245:N246"/>
    <mergeCell ref="O245:Q245"/>
    <mergeCell ref="R245:R246"/>
    <mergeCell ref="S245:S246"/>
    <mergeCell ref="T245:T246"/>
    <mergeCell ref="E201:M201"/>
    <mergeCell ref="E202:M202"/>
    <mergeCell ref="A212:A214"/>
    <mergeCell ref="B212:B214"/>
    <mergeCell ref="C212:C214"/>
    <mergeCell ref="D212:D214"/>
    <mergeCell ref="E212:E214"/>
    <mergeCell ref="F212:F214"/>
    <mergeCell ref="G212:G214"/>
    <mergeCell ref="H212:H214"/>
    <mergeCell ref="I212:I214"/>
    <mergeCell ref="J212:J214"/>
    <mergeCell ref="K212:K214"/>
    <mergeCell ref="L212:L214"/>
    <mergeCell ref="M212:T212"/>
    <mergeCell ref="V183:V185"/>
    <mergeCell ref="M184:M185"/>
    <mergeCell ref="N184:N185"/>
    <mergeCell ref="O184:Q184"/>
    <mergeCell ref="R184:R185"/>
    <mergeCell ref="S184:S185"/>
    <mergeCell ref="T184:T185"/>
    <mergeCell ref="E199:L199"/>
    <mergeCell ref="E200:M200"/>
    <mergeCell ref="U183:U185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E52:M52"/>
    <mergeCell ref="E53:M53"/>
    <mergeCell ref="L64:L66"/>
    <mergeCell ref="M64:T64"/>
    <mergeCell ref="U64:U66"/>
    <mergeCell ref="E5:M5"/>
    <mergeCell ref="E6:M6"/>
    <mergeCell ref="E7:M7"/>
    <mergeCell ref="J17:J19"/>
    <mergeCell ref="K17:K19"/>
    <mergeCell ref="L17:L19"/>
    <mergeCell ref="M17:T17"/>
    <mergeCell ref="U17:U19"/>
    <mergeCell ref="V17:V19"/>
    <mergeCell ref="M18:M19"/>
    <mergeCell ref="N18:N19"/>
    <mergeCell ref="O18:Q18"/>
    <mergeCell ref="R18:R19"/>
    <mergeCell ref="S18:S19"/>
    <mergeCell ref="T18:T19"/>
    <mergeCell ref="A63:B63"/>
    <mergeCell ref="A64:A66"/>
    <mergeCell ref="B64:B66"/>
    <mergeCell ref="C64:C66"/>
    <mergeCell ref="D64:D66"/>
    <mergeCell ref="E64:E66"/>
    <mergeCell ref="V64:V66"/>
    <mergeCell ref="M65:M66"/>
    <mergeCell ref="N65:N66"/>
    <mergeCell ref="O65:Q65"/>
    <mergeCell ref="R65:R66"/>
    <mergeCell ref="S65:S66"/>
    <mergeCell ref="T65:T66"/>
    <mergeCell ref="F64:F66"/>
    <mergeCell ref="G64:G66"/>
    <mergeCell ref="H64:H66"/>
    <mergeCell ref="E51:M51"/>
    <mergeCell ref="E90:M90"/>
    <mergeCell ref="E91:M91"/>
    <mergeCell ref="I64:I66"/>
    <mergeCell ref="J64:J66"/>
    <mergeCell ref="K64:K66"/>
    <mergeCell ref="D103:D105"/>
    <mergeCell ref="E103:E105"/>
    <mergeCell ref="F103:F105"/>
    <mergeCell ref="A147:A149"/>
    <mergeCell ref="B147:B149"/>
    <mergeCell ref="C147:C149"/>
    <mergeCell ref="D147:D149"/>
    <mergeCell ref="E147:E149"/>
    <mergeCell ref="F147:F149"/>
    <mergeCell ref="E134:M134"/>
    <mergeCell ref="E135:M135"/>
    <mergeCell ref="E136:M136"/>
    <mergeCell ref="M147:T147"/>
    <mergeCell ref="U103:U105"/>
    <mergeCell ref="V103:V105"/>
    <mergeCell ref="M104:M105"/>
    <mergeCell ref="N104:N105"/>
    <mergeCell ref="O104:Q104"/>
    <mergeCell ref="R104:R105"/>
    <mergeCell ref="S104:S105"/>
    <mergeCell ref="T104:T105"/>
    <mergeCell ref="G103:G105"/>
    <mergeCell ref="H103:H105"/>
    <mergeCell ref="I103:I105"/>
    <mergeCell ref="J103:J105"/>
    <mergeCell ref="K103:K105"/>
    <mergeCell ref="L103:L105"/>
    <mergeCell ref="M103:T103"/>
    <mergeCell ref="U147:U149"/>
    <mergeCell ref="V147:V149"/>
    <mergeCell ref="M148:M149"/>
    <mergeCell ref="N148:N149"/>
    <mergeCell ref="O148:Q148"/>
    <mergeCell ref="R148:R149"/>
    <mergeCell ref="S148:S149"/>
    <mergeCell ref="T148:T149"/>
    <mergeCell ref="E170:L170"/>
    <mergeCell ref="G147:G149"/>
    <mergeCell ref="H147:H149"/>
    <mergeCell ref="I147:I149"/>
    <mergeCell ref="J147:J149"/>
    <mergeCell ref="K147:K149"/>
    <mergeCell ref="L147:L149"/>
    <mergeCell ref="E4:L4"/>
    <mergeCell ref="E50:L50"/>
    <mergeCell ref="E89:L89"/>
    <mergeCell ref="E133:L133"/>
    <mergeCell ref="E171:M171"/>
    <mergeCell ref="E172:M172"/>
    <mergeCell ref="E173:M173"/>
    <mergeCell ref="A183:A185"/>
    <mergeCell ref="B183:B185"/>
    <mergeCell ref="C183:C185"/>
    <mergeCell ref="D183:D185"/>
    <mergeCell ref="E183:E185"/>
    <mergeCell ref="F183:F185"/>
    <mergeCell ref="G183:G185"/>
    <mergeCell ref="H183:H185"/>
    <mergeCell ref="I183:I185"/>
    <mergeCell ref="J183:J185"/>
    <mergeCell ref="K183:K185"/>
    <mergeCell ref="L183:L185"/>
    <mergeCell ref="M183:T183"/>
    <mergeCell ref="E92:M92"/>
    <mergeCell ref="A103:A105"/>
    <mergeCell ref="B103:B105"/>
    <mergeCell ref="C103:C105"/>
  </mergeCells>
  <pageMargins left="0" right="0" top="0" bottom="0" header="0" footer="0"/>
  <pageSetup paperSize="9" scale="57" orientation="landscape" r:id="rId1"/>
  <headerFooter alignWithMargins="0"/>
  <rowBreaks count="1" manualBreakCount="1">
    <brk id="195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HN240"/>
  <sheetViews>
    <sheetView view="pageBreakPreview" zoomScale="90" zoomScaleNormal="100" zoomScaleSheetLayoutView="90" workbookViewId="0">
      <selection activeCell="B37" sqref="B37:B39"/>
    </sheetView>
  </sheetViews>
  <sheetFormatPr defaultRowHeight="12.75"/>
  <cols>
    <col min="1" max="1" width="3.140625" style="3" customWidth="1"/>
    <col min="2" max="2" width="20" style="3" customWidth="1"/>
    <col min="3" max="3" width="36.7109375" style="3" customWidth="1"/>
    <col min="4" max="4" width="9.42578125" style="3" customWidth="1"/>
    <col min="5" max="5" width="36.5703125" style="3" customWidth="1"/>
    <col min="6" max="6" width="11.140625" style="3" customWidth="1"/>
    <col min="7" max="7" width="7.85546875" style="3" customWidth="1"/>
    <col min="8" max="8" width="6.5703125" style="3" customWidth="1"/>
    <col min="9" max="9" width="8.28515625" style="3" customWidth="1"/>
    <col min="10" max="10" width="10" style="3" customWidth="1"/>
    <col min="11" max="11" width="7.7109375" style="3" customWidth="1"/>
    <col min="12" max="12" width="10.7109375" style="3" customWidth="1"/>
    <col min="13" max="13" width="9.140625" style="3"/>
    <col min="14" max="14" width="10.42578125" style="3" customWidth="1"/>
    <col min="15" max="15" width="7.28515625" style="3" customWidth="1"/>
    <col min="16" max="16" width="7" style="3" customWidth="1"/>
    <col min="17" max="17" width="8.5703125" style="3" customWidth="1"/>
    <col min="18" max="18" width="8.28515625" style="3" customWidth="1"/>
    <col min="19" max="19" width="6.85546875" style="3" customWidth="1"/>
    <col min="20" max="20" width="7" style="3" customWidth="1"/>
    <col min="21" max="21" width="9.7109375" style="3" customWidth="1"/>
    <col min="22" max="22" width="10.7109375" style="3" customWidth="1"/>
    <col min="23" max="16384" width="9.140625" style="3"/>
  </cols>
  <sheetData>
    <row r="1" spans="1:22" s="42" customFormat="1">
      <c r="A1" s="99" t="s">
        <v>0</v>
      </c>
      <c r="B1" s="99"/>
      <c r="C1" s="99"/>
      <c r="D1" s="99"/>
      <c r="E1" s="100"/>
      <c r="F1" s="100"/>
      <c r="G1" s="100"/>
      <c r="H1" s="100"/>
      <c r="I1" s="100"/>
      <c r="J1" s="100"/>
      <c r="K1" s="100"/>
      <c r="L1" s="100"/>
      <c r="M1" s="100"/>
      <c r="N1" s="69" t="s">
        <v>1</v>
      </c>
      <c r="O1" s="69"/>
      <c r="P1" s="69"/>
      <c r="Q1" s="69"/>
      <c r="R1" s="69"/>
      <c r="S1" s="69"/>
      <c r="T1" s="69"/>
      <c r="U1" s="70"/>
      <c r="V1" s="70"/>
    </row>
    <row r="2" spans="1:22" s="42" customFormat="1">
      <c r="A2" s="99" t="s">
        <v>2</v>
      </c>
      <c r="B2" s="99"/>
      <c r="C2" s="99"/>
      <c r="D2" s="99"/>
      <c r="E2" s="100"/>
      <c r="F2" s="100"/>
      <c r="G2" s="100"/>
      <c r="H2" s="100"/>
      <c r="I2" s="100"/>
      <c r="J2" s="100"/>
      <c r="K2" s="100"/>
      <c r="L2" s="100"/>
      <c r="M2" s="100"/>
      <c r="N2" s="69" t="s">
        <v>3</v>
      </c>
      <c r="O2" s="69"/>
      <c r="P2" s="69"/>
      <c r="Q2" s="69"/>
      <c r="R2" s="69"/>
      <c r="S2" s="69"/>
      <c r="T2" s="69"/>
      <c r="U2" s="70"/>
      <c r="V2" s="70"/>
    </row>
    <row r="3" spans="1:22" s="42" customFormat="1">
      <c r="A3" s="99"/>
      <c r="B3" s="99"/>
      <c r="C3" s="99"/>
      <c r="D3" s="99"/>
      <c r="E3" s="100"/>
      <c r="F3" s="100"/>
      <c r="G3" s="100"/>
      <c r="H3" s="100"/>
      <c r="I3" s="100"/>
      <c r="J3" s="100"/>
      <c r="K3" s="100"/>
      <c r="L3" s="100"/>
      <c r="M3" s="100"/>
      <c r="N3" s="68" t="s">
        <v>4</v>
      </c>
      <c r="O3" s="68"/>
      <c r="P3" s="68"/>
      <c r="Q3" s="68"/>
      <c r="R3" s="68"/>
      <c r="S3" s="68"/>
      <c r="T3" s="68"/>
      <c r="U3" s="70"/>
      <c r="V3" s="70"/>
    </row>
    <row r="4" spans="1:22" s="42" customFormat="1">
      <c r="A4" s="99" t="s">
        <v>5</v>
      </c>
      <c r="B4" s="99"/>
      <c r="C4" s="99" t="s">
        <v>6</v>
      </c>
      <c r="D4" s="99"/>
      <c r="E4" s="462" t="s">
        <v>183</v>
      </c>
      <c r="F4" s="462"/>
      <c r="G4" s="462"/>
      <c r="H4" s="462"/>
      <c r="I4" s="462"/>
      <c r="J4" s="462"/>
      <c r="K4" s="462"/>
      <c r="L4" s="462"/>
      <c r="M4" s="70"/>
      <c r="N4" s="69" t="s">
        <v>139</v>
      </c>
      <c r="O4" s="69"/>
      <c r="P4" s="69"/>
      <c r="Q4" s="69"/>
      <c r="R4" s="69"/>
      <c r="S4" s="69"/>
      <c r="T4" s="69"/>
      <c r="U4" s="70"/>
      <c r="V4" s="70"/>
    </row>
    <row r="5" spans="1:22" s="44" customFormat="1">
      <c r="A5" s="99"/>
      <c r="B5" s="99"/>
      <c r="C5" s="99"/>
      <c r="D5" s="99"/>
      <c r="E5" s="463" t="s">
        <v>184</v>
      </c>
      <c r="F5" s="463"/>
      <c r="G5" s="463"/>
      <c r="H5" s="463"/>
      <c r="I5" s="463"/>
      <c r="J5" s="463"/>
      <c r="K5" s="463"/>
      <c r="L5" s="463"/>
      <c r="M5" s="463"/>
      <c r="N5" s="100"/>
      <c r="O5" s="100"/>
      <c r="P5" s="100"/>
      <c r="Q5" s="100"/>
      <c r="R5" s="100"/>
      <c r="S5" s="100"/>
      <c r="T5" s="100"/>
      <c r="U5" s="100"/>
      <c r="V5" s="70"/>
    </row>
    <row r="6" spans="1:22" s="44" customFormat="1">
      <c r="A6" s="100"/>
      <c r="B6" s="100"/>
      <c r="C6" s="100"/>
      <c r="D6" s="100"/>
      <c r="E6" s="464" t="s">
        <v>219</v>
      </c>
      <c r="F6" s="464"/>
      <c r="G6" s="464"/>
      <c r="H6" s="464"/>
      <c r="I6" s="464"/>
      <c r="J6" s="464"/>
      <c r="K6" s="464"/>
      <c r="L6" s="464"/>
      <c r="M6" s="464"/>
      <c r="N6" s="100"/>
      <c r="O6" s="100"/>
      <c r="P6" s="100"/>
      <c r="Q6" s="100"/>
      <c r="R6" s="100"/>
      <c r="S6" s="100"/>
      <c r="T6" s="100"/>
      <c r="U6" s="100"/>
      <c r="V6" s="70"/>
    </row>
    <row r="7" spans="1:22" s="44" customFormat="1">
      <c r="A7" s="100"/>
      <c r="B7" s="100"/>
      <c r="C7" s="100"/>
      <c r="D7" s="100"/>
      <c r="E7" s="464" t="s">
        <v>7</v>
      </c>
      <c r="F7" s="464"/>
      <c r="G7" s="464"/>
      <c r="H7" s="464"/>
      <c r="I7" s="464"/>
      <c r="J7" s="464"/>
      <c r="K7" s="464"/>
      <c r="L7" s="464"/>
      <c r="M7" s="464"/>
      <c r="N7" s="100"/>
      <c r="O7" s="100"/>
      <c r="P7" s="100"/>
      <c r="Q7" s="100"/>
      <c r="R7" s="100"/>
      <c r="S7" s="100"/>
      <c r="T7" s="100"/>
      <c r="U7" s="100"/>
      <c r="V7" s="70"/>
    </row>
    <row r="8" spans="1:22" s="44" customForma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 t="s">
        <v>185</v>
      </c>
      <c r="R8" s="100"/>
      <c r="S8" s="100"/>
      <c r="T8" s="100"/>
      <c r="U8" s="100"/>
      <c r="V8" s="70"/>
    </row>
    <row r="9" spans="1:22" s="44" customForma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 t="s">
        <v>265</v>
      </c>
      <c r="R9" s="100"/>
      <c r="S9" s="100"/>
      <c r="T9" s="100"/>
      <c r="U9" s="100"/>
      <c r="V9" s="70"/>
    </row>
    <row r="10" spans="1:22" s="41" customFormat="1" ht="14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 t="s">
        <v>186</v>
      </c>
      <c r="R10" s="70"/>
      <c r="S10" s="70"/>
      <c r="T10" s="70" t="s">
        <v>413</v>
      </c>
      <c r="U10" s="70"/>
      <c r="V10" s="70"/>
    </row>
    <row r="11" spans="1:22" s="41" customFormat="1" ht="14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 t="s">
        <v>188</v>
      </c>
      <c r="R11" s="70"/>
      <c r="S11" s="70"/>
      <c r="T11" s="70">
        <v>1</v>
      </c>
      <c r="U11" s="70"/>
      <c r="V11" s="70"/>
    </row>
    <row r="12" spans="1:22" s="41" customFormat="1" ht="14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 t="s">
        <v>189</v>
      </c>
      <c r="R12" s="70"/>
      <c r="S12" s="70"/>
      <c r="T12" s="70">
        <v>24</v>
      </c>
      <c r="U12" s="70" t="s">
        <v>190</v>
      </c>
      <c r="V12" s="70"/>
    </row>
    <row r="13" spans="1:22" s="41" customFormat="1" ht="14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 t="s">
        <v>191</v>
      </c>
      <c r="R13" s="70"/>
      <c r="S13" s="70"/>
      <c r="T13" s="70">
        <v>0</v>
      </c>
      <c r="U13" s="70">
        <f>T13*100/T12</f>
        <v>0</v>
      </c>
      <c r="V13" s="70" t="s">
        <v>17</v>
      </c>
    </row>
    <row r="14" spans="1:22" s="41" customFormat="1" ht="14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 t="s">
        <v>192</v>
      </c>
      <c r="R14" s="70"/>
      <c r="S14" s="70"/>
      <c r="T14" s="70">
        <v>24</v>
      </c>
      <c r="U14" s="70">
        <f>T14*100/T12</f>
        <v>100</v>
      </c>
      <c r="V14" s="70" t="s">
        <v>17</v>
      </c>
    </row>
    <row r="15" spans="1:22" s="41" customFormat="1" ht="14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 t="s">
        <v>193</v>
      </c>
      <c r="R15" s="70"/>
      <c r="S15" s="70"/>
      <c r="T15" s="324">
        <f>K40</f>
        <v>199.6</v>
      </c>
      <c r="U15" s="70"/>
      <c r="V15" s="70"/>
    </row>
    <row r="16" spans="1:22" s="41" customFormat="1" ht="14.25">
      <c r="A16" s="70"/>
      <c r="B16" s="70" t="s">
        <v>412</v>
      </c>
      <c r="C16" s="70" t="s">
        <v>414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</row>
    <row r="17" spans="1:22" s="41" customFormat="1" ht="14.25">
      <c r="A17" s="459" t="s">
        <v>195</v>
      </c>
      <c r="B17" s="459" t="s">
        <v>196</v>
      </c>
      <c r="C17" s="459" t="s">
        <v>197</v>
      </c>
      <c r="D17" s="459" t="s">
        <v>198</v>
      </c>
      <c r="E17" s="459" t="s">
        <v>10</v>
      </c>
      <c r="F17" s="459" t="s">
        <v>199</v>
      </c>
      <c r="G17" s="459" t="s">
        <v>200</v>
      </c>
      <c r="H17" s="459" t="s">
        <v>201</v>
      </c>
      <c r="I17" s="459" t="s">
        <v>247</v>
      </c>
      <c r="J17" s="459" t="s">
        <v>11</v>
      </c>
      <c r="K17" s="459" t="s">
        <v>203</v>
      </c>
      <c r="L17" s="459" t="s">
        <v>12</v>
      </c>
      <c r="M17" s="458" t="s">
        <v>204</v>
      </c>
      <c r="N17" s="458"/>
      <c r="O17" s="458"/>
      <c r="P17" s="458"/>
      <c r="Q17" s="458"/>
      <c r="R17" s="458"/>
      <c r="S17" s="458"/>
      <c r="T17" s="458"/>
      <c r="U17" s="459" t="s">
        <v>320</v>
      </c>
      <c r="V17" s="459" t="s">
        <v>206</v>
      </c>
    </row>
    <row r="18" spans="1:22" s="41" customFormat="1" ht="14.25">
      <c r="A18" s="460"/>
      <c r="B18" s="460"/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459" t="s">
        <v>207</v>
      </c>
      <c r="N18" s="459" t="s">
        <v>15</v>
      </c>
      <c r="O18" s="458" t="s">
        <v>16</v>
      </c>
      <c r="P18" s="458"/>
      <c r="Q18" s="458"/>
      <c r="R18" s="459"/>
      <c r="S18" s="459"/>
      <c r="T18" s="459"/>
      <c r="U18" s="460"/>
      <c r="V18" s="460"/>
    </row>
    <row r="19" spans="1:22" s="41" customFormat="1" ht="66.75" customHeight="1">
      <c r="A19" s="461"/>
      <c r="B19" s="461"/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71" t="s">
        <v>17</v>
      </c>
      <c r="P19" s="71" t="s">
        <v>18</v>
      </c>
      <c r="Q19" s="71" t="s">
        <v>19</v>
      </c>
      <c r="R19" s="461"/>
      <c r="S19" s="461"/>
      <c r="T19" s="461"/>
      <c r="U19" s="461"/>
      <c r="V19" s="461"/>
    </row>
    <row r="20" spans="1:22" s="41" customFormat="1" ht="51">
      <c r="A20" s="102">
        <v>1</v>
      </c>
      <c r="B20" s="80"/>
      <c r="C20" s="102" t="s">
        <v>208</v>
      </c>
      <c r="D20" s="37" t="s">
        <v>51</v>
      </c>
      <c r="E20" s="80" t="s">
        <v>56</v>
      </c>
      <c r="F20" s="80" t="s">
        <v>57</v>
      </c>
      <c r="G20" s="80" t="s">
        <v>24</v>
      </c>
      <c r="H20" s="82" t="s">
        <v>25</v>
      </c>
      <c r="I20" s="74">
        <v>90609</v>
      </c>
      <c r="J20" s="75">
        <f>I20/72</f>
        <v>1258.46</v>
      </c>
      <c r="K20" s="76">
        <v>17</v>
      </c>
      <c r="L20" s="77">
        <f>J20*K20</f>
        <v>21394</v>
      </c>
      <c r="M20" s="102"/>
      <c r="N20" s="102"/>
      <c r="O20" s="102">
        <v>25</v>
      </c>
      <c r="P20" s="102">
        <v>10.199999999999999</v>
      </c>
      <c r="Q20" s="77">
        <f>17697*25%/72*P20</f>
        <v>627</v>
      </c>
      <c r="R20" s="77"/>
      <c r="S20" s="77"/>
      <c r="T20" s="77"/>
      <c r="U20" s="77">
        <f>L20*10%</f>
        <v>2139</v>
      </c>
      <c r="V20" s="77">
        <f>M20+N20+Q20+R20+T20+U20+S20+L20</f>
        <v>24160</v>
      </c>
    </row>
    <row r="21" spans="1:22" s="41" customFormat="1" ht="33.75" customHeight="1">
      <c r="A21" s="79">
        <v>2</v>
      </c>
      <c r="B21" s="80"/>
      <c r="C21" s="102" t="s">
        <v>208</v>
      </c>
      <c r="D21" s="37" t="s">
        <v>51</v>
      </c>
      <c r="E21" s="80" t="s">
        <v>94</v>
      </c>
      <c r="F21" s="80" t="s">
        <v>95</v>
      </c>
      <c r="G21" s="82" t="s">
        <v>164</v>
      </c>
      <c r="H21" s="82" t="s">
        <v>25</v>
      </c>
      <c r="I21" s="82">
        <v>93971</v>
      </c>
      <c r="J21" s="75">
        <f t="shared" ref="J21:J37" si="0">I21/72</f>
        <v>1305.1500000000001</v>
      </c>
      <c r="K21" s="76">
        <v>17</v>
      </c>
      <c r="L21" s="77">
        <f t="shared" ref="L21:L39" si="1">J21*K21</f>
        <v>22188</v>
      </c>
      <c r="M21" s="102"/>
      <c r="N21" s="102"/>
      <c r="O21" s="102">
        <v>25</v>
      </c>
      <c r="P21" s="102">
        <v>10.199999999999999</v>
      </c>
      <c r="Q21" s="77">
        <f t="shared" ref="Q21" si="2">17697*25%/72*P21</f>
        <v>627</v>
      </c>
      <c r="R21" s="102"/>
      <c r="S21" s="102"/>
      <c r="T21" s="77"/>
      <c r="U21" s="77">
        <f t="shared" ref="U21:U39" si="3">L21*10%</f>
        <v>2219</v>
      </c>
      <c r="V21" s="77">
        <f t="shared" ref="V21:V39" si="4">M21+N21+Q21+R21+T21+U21+S21+L21</f>
        <v>25034</v>
      </c>
    </row>
    <row r="22" spans="1:22" s="41" customFormat="1" ht="53.25" customHeight="1">
      <c r="A22" s="102">
        <v>3</v>
      </c>
      <c r="B22" s="83"/>
      <c r="C22" s="102" t="s">
        <v>415</v>
      </c>
      <c r="D22" s="37" t="s">
        <v>51</v>
      </c>
      <c r="E22" s="335" t="s">
        <v>235</v>
      </c>
      <c r="F22" s="327" t="s">
        <v>236</v>
      </c>
      <c r="G22" s="80" t="s">
        <v>182</v>
      </c>
      <c r="H22" s="82" t="s">
        <v>42</v>
      </c>
      <c r="I22" s="74">
        <v>82468</v>
      </c>
      <c r="J22" s="75">
        <f t="shared" si="0"/>
        <v>1145.3900000000001</v>
      </c>
      <c r="K22" s="76">
        <v>14</v>
      </c>
      <c r="L22" s="77">
        <f t="shared" si="1"/>
        <v>16035</v>
      </c>
      <c r="M22" s="102"/>
      <c r="N22" s="102"/>
      <c r="O22" s="102">
        <v>25</v>
      </c>
      <c r="P22" s="102">
        <v>5.6</v>
      </c>
      <c r="Q22" s="77">
        <f>17697*25%/72*P22</f>
        <v>344</v>
      </c>
      <c r="R22" s="102"/>
      <c r="S22" s="102"/>
      <c r="T22" s="77"/>
      <c r="U22" s="77">
        <f t="shared" si="3"/>
        <v>1604</v>
      </c>
      <c r="V22" s="77">
        <f t="shared" si="4"/>
        <v>17983</v>
      </c>
    </row>
    <row r="23" spans="1:22" s="41" customFormat="1" ht="43.5" customHeight="1">
      <c r="A23" s="79">
        <v>4</v>
      </c>
      <c r="B23" s="37"/>
      <c r="C23" s="37" t="s">
        <v>77</v>
      </c>
      <c r="D23" s="37" t="s">
        <v>51</v>
      </c>
      <c r="E23" s="37" t="s">
        <v>78</v>
      </c>
      <c r="F23" s="37" t="s">
        <v>79</v>
      </c>
      <c r="G23" s="80" t="s">
        <v>155</v>
      </c>
      <c r="H23" s="82" t="s">
        <v>25</v>
      </c>
      <c r="I23" s="82">
        <v>87246</v>
      </c>
      <c r="J23" s="75">
        <f t="shared" si="0"/>
        <v>1211.75</v>
      </c>
      <c r="K23" s="76">
        <v>7.2</v>
      </c>
      <c r="L23" s="77">
        <f t="shared" si="1"/>
        <v>8725</v>
      </c>
      <c r="M23" s="102"/>
      <c r="N23" s="102"/>
      <c r="O23" s="102">
        <v>20</v>
      </c>
      <c r="P23" s="102">
        <v>7.2</v>
      </c>
      <c r="Q23" s="77">
        <f>17697*20%/72*P23</f>
        <v>354</v>
      </c>
      <c r="R23" s="102"/>
      <c r="S23" s="102"/>
      <c r="T23" s="77"/>
      <c r="U23" s="77">
        <f t="shared" si="3"/>
        <v>873</v>
      </c>
      <c r="V23" s="77">
        <f t="shared" si="4"/>
        <v>9952</v>
      </c>
    </row>
    <row r="24" spans="1:22" s="41" customFormat="1" ht="36.75" customHeight="1">
      <c r="A24" s="102">
        <v>5</v>
      </c>
      <c r="B24" s="80"/>
      <c r="C24" s="36" t="s">
        <v>77</v>
      </c>
      <c r="D24" s="102" t="s">
        <v>51</v>
      </c>
      <c r="E24" s="83" t="s">
        <v>75</v>
      </c>
      <c r="F24" s="80" t="s">
        <v>76</v>
      </c>
      <c r="G24" s="80" t="s">
        <v>152</v>
      </c>
      <c r="H24" s="74" t="s">
        <v>25</v>
      </c>
      <c r="I24" s="82">
        <v>90609</v>
      </c>
      <c r="J24" s="75">
        <f t="shared" si="0"/>
        <v>1258.46</v>
      </c>
      <c r="K24" s="102">
        <v>7.2</v>
      </c>
      <c r="L24" s="77">
        <f t="shared" si="1"/>
        <v>9061</v>
      </c>
      <c r="M24" s="102"/>
      <c r="N24" s="102"/>
      <c r="O24" s="102">
        <v>20</v>
      </c>
      <c r="P24" s="102">
        <v>7.2</v>
      </c>
      <c r="Q24" s="77">
        <f>17697*20%/72*P24</f>
        <v>354</v>
      </c>
      <c r="R24" s="102"/>
      <c r="S24" s="102"/>
      <c r="T24" s="77"/>
      <c r="U24" s="77">
        <f t="shared" si="3"/>
        <v>906</v>
      </c>
      <c r="V24" s="77">
        <f t="shared" si="4"/>
        <v>10321</v>
      </c>
    </row>
    <row r="25" spans="1:22" s="41" customFormat="1" ht="44.25" customHeight="1">
      <c r="A25" s="79">
        <v>6</v>
      </c>
      <c r="B25" s="73"/>
      <c r="C25" s="85" t="s">
        <v>212</v>
      </c>
      <c r="D25" s="102" t="s">
        <v>51</v>
      </c>
      <c r="E25" s="73" t="s">
        <v>68</v>
      </c>
      <c r="F25" s="73" t="s">
        <v>69</v>
      </c>
      <c r="G25" s="73" t="s">
        <v>151</v>
      </c>
      <c r="H25" s="74" t="s">
        <v>25</v>
      </c>
      <c r="I25" s="74">
        <v>93971</v>
      </c>
      <c r="J25" s="75">
        <f t="shared" si="0"/>
        <v>1305.1500000000001</v>
      </c>
      <c r="K25" s="76">
        <v>9</v>
      </c>
      <c r="L25" s="77">
        <f t="shared" si="1"/>
        <v>11746</v>
      </c>
      <c r="M25" s="102"/>
      <c r="N25" s="102"/>
      <c r="O25" s="102"/>
      <c r="P25" s="102"/>
      <c r="Q25" s="77">
        <f t="shared" ref="Q25:Q39" si="5">17697*20%/72*P25</f>
        <v>0</v>
      </c>
      <c r="R25" s="102"/>
      <c r="S25" s="102"/>
      <c r="T25" s="77"/>
      <c r="U25" s="77">
        <f t="shared" si="3"/>
        <v>1175</v>
      </c>
      <c r="V25" s="77">
        <f t="shared" si="4"/>
        <v>12921</v>
      </c>
    </row>
    <row r="26" spans="1:22" s="41" customFormat="1" ht="80.25" customHeight="1">
      <c r="A26" s="102">
        <v>7</v>
      </c>
      <c r="B26" s="37"/>
      <c r="C26" s="37" t="s">
        <v>224</v>
      </c>
      <c r="D26" s="102" t="s">
        <v>51</v>
      </c>
      <c r="E26" s="37" t="s">
        <v>220</v>
      </c>
      <c r="F26" s="37" t="s">
        <v>221</v>
      </c>
      <c r="G26" s="37" t="s">
        <v>146</v>
      </c>
      <c r="H26" s="86" t="s">
        <v>25</v>
      </c>
      <c r="I26" s="94">
        <v>80875</v>
      </c>
      <c r="J26" s="75">
        <f t="shared" si="0"/>
        <v>1123.26</v>
      </c>
      <c r="K26" s="76">
        <f>3.8+7.2</f>
        <v>11</v>
      </c>
      <c r="L26" s="77">
        <f t="shared" si="1"/>
        <v>12356</v>
      </c>
      <c r="M26" s="102"/>
      <c r="N26" s="102"/>
      <c r="O26" s="102"/>
      <c r="P26" s="102"/>
      <c r="Q26" s="77">
        <f t="shared" si="5"/>
        <v>0</v>
      </c>
      <c r="R26" s="102"/>
      <c r="S26" s="102"/>
      <c r="T26" s="77"/>
      <c r="U26" s="77">
        <f t="shared" si="3"/>
        <v>1236</v>
      </c>
      <c r="V26" s="77">
        <f t="shared" si="4"/>
        <v>13592</v>
      </c>
    </row>
    <row r="27" spans="1:22" s="41" customFormat="1" ht="31.5" customHeight="1">
      <c r="A27" s="79">
        <v>8</v>
      </c>
      <c r="B27" s="37"/>
      <c r="C27" s="37" t="s">
        <v>117</v>
      </c>
      <c r="D27" s="37" t="s">
        <v>51</v>
      </c>
      <c r="E27" s="80" t="s">
        <v>26</v>
      </c>
      <c r="F27" s="37" t="s">
        <v>40</v>
      </c>
      <c r="G27" s="80" t="s">
        <v>144</v>
      </c>
      <c r="H27" s="82" t="s">
        <v>42</v>
      </c>
      <c r="I27" s="74">
        <v>93971</v>
      </c>
      <c r="J27" s="75">
        <f t="shared" si="0"/>
        <v>1305.1500000000001</v>
      </c>
      <c r="K27" s="76">
        <v>15.6</v>
      </c>
      <c r="L27" s="77">
        <f t="shared" si="1"/>
        <v>20360</v>
      </c>
      <c r="M27" s="102"/>
      <c r="N27" s="102"/>
      <c r="O27" s="102">
        <v>20</v>
      </c>
      <c r="P27" s="76">
        <v>15.6</v>
      </c>
      <c r="Q27" s="77">
        <f t="shared" si="5"/>
        <v>767</v>
      </c>
      <c r="R27" s="102"/>
      <c r="S27" s="102"/>
      <c r="T27" s="77"/>
      <c r="U27" s="77">
        <f t="shared" si="3"/>
        <v>2036</v>
      </c>
      <c r="V27" s="77">
        <f t="shared" si="4"/>
        <v>23163</v>
      </c>
    </row>
    <row r="28" spans="1:22" s="41" customFormat="1" ht="33.75" customHeight="1">
      <c r="A28" s="102">
        <v>9</v>
      </c>
      <c r="B28" s="37"/>
      <c r="C28" s="85" t="s">
        <v>33</v>
      </c>
      <c r="D28" s="102" t="s">
        <v>51</v>
      </c>
      <c r="E28" s="37" t="s">
        <v>34</v>
      </c>
      <c r="F28" s="37" t="s">
        <v>35</v>
      </c>
      <c r="G28" s="82" t="s">
        <v>141</v>
      </c>
      <c r="H28" s="82" t="s">
        <v>25</v>
      </c>
      <c r="I28" s="82">
        <v>85653</v>
      </c>
      <c r="J28" s="75">
        <f t="shared" si="0"/>
        <v>1189.6300000000001</v>
      </c>
      <c r="K28" s="102">
        <v>3.8</v>
      </c>
      <c r="L28" s="77">
        <f t="shared" si="1"/>
        <v>4521</v>
      </c>
      <c r="M28" s="102"/>
      <c r="N28" s="102"/>
      <c r="O28" s="102"/>
      <c r="P28" s="102"/>
      <c r="Q28" s="77">
        <f t="shared" si="5"/>
        <v>0</v>
      </c>
      <c r="R28" s="102"/>
      <c r="S28" s="102"/>
      <c r="T28" s="77"/>
      <c r="U28" s="77">
        <f t="shared" si="3"/>
        <v>452</v>
      </c>
      <c r="V28" s="77">
        <f t="shared" si="4"/>
        <v>4973</v>
      </c>
    </row>
    <row r="29" spans="1:22" s="41" customFormat="1" ht="44.25" customHeight="1">
      <c r="A29" s="79">
        <v>10</v>
      </c>
      <c r="B29" s="94"/>
      <c r="C29" s="94" t="s">
        <v>210</v>
      </c>
      <c r="D29" s="102" t="s">
        <v>51</v>
      </c>
      <c r="E29" s="94" t="s">
        <v>225</v>
      </c>
      <c r="F29" s="94" t="s">
        <v>226</v>
      </c>
      <c r="G29" s="108" t="s">
        <v>147</v>
      </c>
      <c r="H29" s="86" t="s">
        <v>25</v>
      </c>
      <c r="I29" s="94">
        <v>89016</v>
      </c>
      <c r="J29" s="75">
        <f t="shared" si="0"/>
        <v>1236.33</v>
      </c>
      <c r="K29" s="76">
        <v>7.6</v>
      </c>
      <c r="L29" s="77">
        <f t="shared" si="1"/>
        <v>9396</v>
      </c>
      <c r="M29" s="102"/>
      <c r="N29" s="102">
        <v>4424</v>
      </c>
      <c r="O29" s="102"/>
      <c r="P29" s="102"/>
      <c r="Q29" s="77">
        <f t="shared" si="5"/>
        <v>0</v>
      </c>
      <c r="R29" s="102"/>
      <c r="S29" s="102"/>
      <c r="T29" s="77"/>
      <c r="U29" s="77">
        <f t="shared" si="3"/>
        <v>940</v>
      </c>
      <c r="V29" s="77">
        <f t="shared" si="4"/>
        <v>14760</v>
      </c>
    </row>
    <row r="30" spans="1:22" s="41" customFormat="1" ht="36" customHeight="1">
      <c r="A30" s="102">
        <v>11</v>
      </c>
      <c r="B30" s="83"/>
      <c r="C30" s="80" t="s">
        <v>110</v>
      </c>
      <c r="D30" s="102" t="s">
        <v>51</v>
      </c>
      <c r="E30" s="80" t="s">
        <v>111</v>
      </c>
      <c r="F30" s="80" t="s">
        <v>112</v>
      </c>
      <c r="G30" s="80" t="s">
        <v>169</v>
      </c>
      <c r="H30" s="82" t="s">
        <v>25</v>
      </c>
      <c r="I30" s="82">
        <v>92201</v>
      </c>
      <c r="J30" s="75">
        <f t="shared" si="0"/>
        <v>1280.57</v>
      </c>
      <c r="K30" s="102">
        <v>14.6</v>
      </c>
      <c r="L30" s="77">
        <f t="shared" si="1"/>
        <v>18696</v>
      </c>
      <c r="M30" s="102"/>
      <c r="N30" s="102"/>
      <c r="O30" s="102">
        <v>20</v>
      </c>
      <c r="P30" s="102">
        <v>14.6</v>
      </c>
      <c r="Q30" s="77">
        <f t="shared" si="5"/>
        <v>718</v>
      </c>
      <c r="R30" s="102"/>
      <c r="S30" s="102"/>
      <c r="T30" s="77"/>
      <c r="U30" s="77">
        <f t="shared" si="3"/>
        <v>1870</v>
      </c>
      <c r="V30" s="77">
        <f t="shared" si="4"/>
        <v>21284</v>
      </c>
    </row>
    <row r="31" spans="1:22" s="41" customFormat="1" ht="37.5" customHeight="1">
      <c r="A31" s="79">
        <v>12</v>
      </c>
      <c r="B31" s="80"/>
      <c r="C31" s="81" t="s">
        <v>528</v>
      </c>
      <c r="D31" s="102" t="s">
        <v>51</v>
      </c>
      <c r="E31" s="37" t="s">
        <v>90</v>
      </c>
      <c r="F31" s="80" t="s">
        <v>91</v>
      </c>
      <c r="G31" s="80" t="s">
        <v>162</v>
      </c>
      <c r="H31" s="74" t="s">
        <v>25</v>
      </c>
      <c r="I31" s="82">
        <v>92201</v>
      </c>
      <c r="J31" s="106">
        <f t="shared" si="0"/>
        <v>1280.57</v>
      </c>
      <c r="K31" s="102">
        <f>11.6+5.4</f>
        <v>17</v>
      </c>
      <c r="L31" s="77">
        <f t="shared" si="1"/>
        <v>21770</v>
      </c>
      <c r="M31" s="102">
        <v>4424</v>
      </c>
      <c r="N31" s="102"/>
      <c r="O31" s="102">
        <v>20</v>
      </c>
      <c r="P31" s="102">
        <v>11.6</v>
      </c>
      <c r="Q31" s="77">
        <f t="shared" si="5"/>
        <v>570</v>
      </c>
      <c r="R31" s="102"/>
      <c r="S31" s="102"/>
      <c r="T31" s="77"/>
      <c r="U31" s="77">
        <f t="shared" si="3"/>
        <v>2177</v>
      </c>
      <c r="V31" s="77">
        <f t="shared" si="4"/>
        <v>28941</v>
      </c>
    </row>
    <row r="32" spans="1:22" s="41" customFormat="1" ht="38.25" customHeight="1">
      <c r="A32" s="102">
        <v>13</v>
      </c>
      <c r="B32" s="37"/>
      <c r="C32" s="80" t="s">
        <v>240</v>
      </c>
      <c r="D32" s="102" t="s">
        <v>51</v>
      </c>
      <c r="E32" s="80" t="s">
        <v>63</v>
      </c>
      <c r="F32" s="80" t="s">
        <v>64</v>
      </c>
      <c r="G32" s="80" t="s">
        <v>157</v>
      </c>
      <c r="H32" s="82" t="s">
        <v>25</v>
      </c>
      <c r="I32" s="82">
        <v>90609</v>
      </c>
      <c r="J32" s="75">
        <f t="shared" si="0"/>
        <v>1258.46</v>
      </c>
      <c r="K32" s="76">
        <f>3.6</f>
        <v>3.6</v>
      </c>
      <c r="L32" s="77">
        <f t="shared" si="1"/>
        <v>4530</v>
      </c>
      <c r="M32" s="102"/>
      <c r="N32" s="102"/>
      <c r="O32" s="102"/>
      <c r="P32" s="102"/>
      <c r="Q32" s="77">
        <f t="shared" si="5"/>
        <v>0</v>
      </c>
      <c r="R32" s="102"/>
      <c r="S32" s="102"/>
      <c r="T32" s="77"/>
      <c r="U32" s="77">
        <f t="shared" si="3"/>
        <v>453</v>
      </c>
      <c r="V32" s="77">
        <f t="shared" si="4"/>
        <v>4983</v>
      </c>
    </row>
    <row r="33" spans="1:222" s="40" customFormat="1" ht="50.25" customHeight="1">
      <c r="A33" s="79">
        <v>14</v>
      </c>
      <c r="B33" s="37"/>
      <c r="C33" s="81" t="s">
        <v>100</v>
      </c>
      <c r="D33" s="37" t="s">
        <v>51</v>
      </c>
      <c r="E33" s="37" t="s">
        <v>237</v>
      </c>
      <c r="F33" s="37" t="s">
        <v>238</v>
      </c>
      <c r="G33" s="36" t="s">
        <v>32</v>
      </c>
      <c r="H33" s="74" t="s">
        <v>42</v>
      </c>
      <c r="I33" s="36">
        <v>82468</v>
      </c>
      <c r="J33" s="75">
        <f t="shared" si="0"/>
        <v>1145.3900000000001</v>
      </c>
      <c r="K33" s="76">
        <v>15.2</v>
      </c>
      <c r="L33" s="77">
        <f t="shared" si="1"/>
        <v>17410</v>
      </c>
      <c r="M33" s="102"/>
      <c r="N33" s="102"/>
      <c r="O33" s="102"/>
      <c r="P33" s="102"/>
      <c r="Q33" s="77">
        <f t="shared" si="5"/>
        <v>0</v>
      </c>
      <c r="R33" s="102"/>
      <c r="S33" s="102"/>
      <c r="T33" s="77"/>
      <c r="U33" s="77">
        <f t="shared" si="3"/>
        <v>1741</v>
      </c>
      <c r="V33" s="77">
        <f t="shared" si="4"/>
        <v>19151</v>
      </c>
      <c r="W33" s="174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75"/>
      <c r="DB33" s="175"/>
      <c r="DC33" s="175"/>
      <c r="DD33" s="175"/>
      <c r="DE33" s="175"/>
      <c r="DF33" s="175"/>
      <c r="DG33" s="175"/>
      <c r="DH33" s="175"/>
      <c r="DI33" s="175"/>
      <c r="DJ33" s="175"/>
      <c r="DK33" s="175"/>
      <c r="DL33" s="175"/>
      <c r="DM33" s="175"/>
      <c r="DN33" s="175"/>
      <c r="DO33" s="175"/>
      <c r="DP33" s="175"/>
      <c r="DQ33" s="175"/>
      <c r="DR33" s="175"/>
      <c r="DS33" s="175"/>
      <c r="DT33" s="175"/>
      <c r="DU33" s="175"/>
      <c r="DV33" s="175"/>
      <c r="DW33" s="175"/>
      <c r="DX33" s="175"/>
      <c r="DY33" s="175"/>
      <c r="DZ33" s="175"/>
      <c r="EA33" s="175"/>
      <c r="EB33" s="175"/>
      <c r="EC33" s="175"/>
      <c r="ED33" s="175"/>
      <c r="EE33" s="175"/>
      <c r="EF33" s="175"/>
      <c r="EG33" s="175"/>
      <c r="EH33" s="175"/>
      <c r="EI33" s="175"/>
      <c r="EJ33" s="175"/>
      <c r="EK33" s="175"/>
      <c r="EL33" s="175"/>
      <c r="EM33" s="175"/>
      <c r="EN33" s="175"/>
      <c r="EO33" s="175"/>
      <c r="EP33" s="175"/>
      <c r="EQ33" s="175"/>
      <c r="ER33" s="175"/>
      <c r="ES33" s="175"/>
      <c r="ET33" s="175"/>
      <c r="EU33" s="175"/>
      <c r="EV33" s="175"/>
      <c r="EW33" s="175"/>
      <c r="EX33" s="175"/>
      <c r="EY33" s="175"/>
      <c r="EZ33" s="175"/>
      <c r="FA33" s="175"/>
      <c r="FB33" s="175"/>
      <c r="FC33" s="175"/>
      <c r="FD33" s="175"/>
      <c r="FE33" s="175"/>
      <c r="FF33" s="175"/>
      <c r="FG33" s="175"/>
      <c r="FH33" s="175"/>
      <c r="FI33" s="175"/>
      <c r="FJ33" s="175"/>
      <c r="FK33" s="175"/>
      <c r="FL33" s="175"/>
      <c r="FM33" s="175"/>
      <c r="FN33" s="175"/>
      <c r="FO33" s="175"/>
      <c r="FP33" s="175"/>
      <c r="FQ33" s="175"/>
      <c r="FR33" s="175"/>
      <c r="FS33" s="175"/>
      <c r="FT33" s="175"/>
      <c r="FU33" s="175"/>
      <c r="FV33" s="175"/>
      <c r="FW33" s="175"/>
      <c r="FX33" s="175"/>
      <c r="FY33" s="175"/>
      <c r="FZ33" s="175"/>
      <c r="GA33" s="175"/>
      <c r="GB33" s="175"/>
      <c r="GC33" s="175"/>
      <c r="GD33" s="175"/>
      <c r="GE33" s="175"/>
      <c r="GF33" s="175"/>
      <c r="GG33" s="175"/>
      <c r="GH33" s="175"/>
      <c r="GI33" s="175"/>
      <c r="GJ33" s="175"/>
      <c r="GK33" s="175"/>
      <c r="GL33" s="175"/>
      <c r="GM33" s="175"/>
      <c r="GN33" s="175"/>
      <c r="GO33" s="175"/>
      <c r="GP33" s="175"/>
      <c r="GQ33" s="175"/>
      <c r="GR33" s="175"/>
      <c r="GS33" s="175"/>
      <c r="GT33" s="175"/>
      <c r="GU33" s="175"/>
      <c r="GV33" s="175"/>
      <c r="GW33" s="175"/>
      <c r="GX33" s="175"/>
      <c r="GY33" s="175"/>
      <c r="GZ33" s="175"/>
      <c r="HA33" s="175"/>
      <c r="HB33" s="175"/>
      <c r="HC33" s="175"/>
      <c r="HD33" s="175"/>
      <c r="HE33" s="175"/>
      <c r="HF33" s="175"/>
      <c r="HG33" s="175"/>
      <c r="HH33" s="175"/>
      <c r="HI33" s="175"/>
      <c r="HJ33" s="175"/>
      <c r="HK33" s="175"/>
      <c r="HL33" s="175"/>
      <c r="HM33" s="175"/>
      <c r="HN33" s="175"/>
    </row>
    <row r="34" spans="1:222" s="177" customFormat="1" ht="30.75" customHeight="1">
      <c r="A34" s="102">
        <v>15</v>
      </c>
      <c r="B34" s="80"/>
      <c r="C34" s="80" t="s">
        <v>100</v>
      </c>
      <c r="D34" s="102" t="s">
        <v>51</v>
      </c>
      <c r="E34" s="80" t="s">
        <v>115</v>
      </c>
      <c r="F34" s="80" t="s">
        <v>116</v>
      </c>
      <c r="G34" s="80" t="s">
        <v>89</v>
      </c>
      <c r="H34" s="74" t="s">
        <v>25</v>
      </c>
      <c r="I34" s="82">
        <v>93971</v>
      </c>
      <c r="J34" s="75">
        <f t="shared" si="0"/>
        <v>1305.1500000000001</v>
      </c>
      <c r="K34" s="76">
        <v>11.6</v>
      </c>
      <c r="L34" s="77">
        <f t="shared" si="1"/>
        <v>15140</v>
      </c>
      <c r="M34" s="102"/>
      <c r="N34" s="102"/>
      <c r="O34" s="102"/>
      <c r="P34" s="102"/>
      <c r="Q34" s="77">
        <f t="shared" si="5"/>
        <v>0</v>
      </c>
      <c r="R34" s="102"/>
      <c r="S34" s="102"/>
      <c r="T34" s="77"/>
      <c r="U34" s="77">
        <f t="shared" si="3"/>
        <v>1514</v>
      </c>
      <c r="V34" s="77">
        <f t="shared" si="4"/>
        <v>16654</v>
      </c>
      <c r="W34" s="17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</row>
    <row r="35" spans="1:222" s="177" customFormat="1" ht="52.5" customHeight="1">
      <c r="A35" s="79">
        <v>16</v>
      </c>
      <c r="B35" s="37"/>
      <c r="C35" s="81" t="s">
        <v>45</v>
      </c>
      <c r="D35" s="102" t="s">
        <v>51</v>
      </c>
      <c r="E35" s="37" t="s">
        <v>46</v>
      </c>
      <c r="F35" s="80" t="s">
        <v>47</v>
      </c>
      <c r="G35" s="80" t="s">
        <v>178</v>
      </c>
      <c r="H35" s="82" t="s">
        <v>25</v>
      </c>
      <c r="I35" s="82">
        <v>93971</v>
      </c>
      <c r="J35" s="75">
        <f t="shared" si="0"/>
        <v>1305.1500000000001</v>
      </c>
      <c r="K35" s="102">
        <v>5</v>
      </c>
      <c r="L35" s="77">
        <f t="shared" si="1"/>
        <v>6526</v>
      </c>
      <c r="M35" s="102"/>
      <c r="N35" s="102"/>
      <c r="O35" s="102"/>
      <c r="P35" s="102"/>
      <c r="Q35" s="77">
        <f t="shared" si="5"/>
        <v>0</v>
      </c>
      <c r="R35" s="102"/>
      <c r="S35" s="102"/>
      <c r="T35" s="77"/>
      <c r="U35" s="77">
        <f t="shared" si="3"/>
        <v>653</v>
      </c>
      <c r="V35" s="77">
        <f t="shared" si="4"/>
        <v>7179</v>
      </c>
      <c r="W35" s="17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</row>
    <row r="36" spans="1:222" s="41" customFormat="1" ht="80.25" customHeight="1">
      <c r="A36" s="102">
        <v>17</v>
      </c>
      <c r="B36" s="83"/>
      <c r="C36" s="81" t="s">
        <v>351</v>
      </c>
      <c r="D36" s="102" t="s">
        <v>51</v>
      </c>
      <c r="E36" s="80" t="s">
        <v>126</v>
      </c>
      <c r="F36" s="37" t="s">
        <v>411</v>
      </c>
      <c r="G36" s="80" t="s">
        <v>41</v>
      </c>
      <c r="H36" s="82" t="s">
        <v>42</v>
      </c>
      <c r="I36" s="74">
        <v>93971</v>
      </c>
      <c r="J36" s="106">
        <f t="shared" si="0"/>
        <v>1305.1500000000001</v>
      </c>
      <c r="K36" s="104">
        <v>3.4</v>
      </c>
      <c r="L36" s="107">
        <f t="shared" si="1"/>
        <v>4438</v>
      </c>
      <c r="M36" s="104"/>
      <c r="N36" s="104"/>
      <c r="O36" s="104"/>
      <c r="P36" s="104"/>
      <c r="Q36" s="107">
        <f t="shared" si="5"/>
        <v>0</v>
      </c>
      <c r="R36" s="104"/>
      <c r="S36" s="104"/>
      <c r="T36" s="107"/>
      <c r="U36" s="77">
        <f t="shared" si="3"/>
        <v>444</v>
      </c>
      <c r="V36" s="77">
        <f t="shared" si="4"/>
        <v>4882</v>
      </c>
      <c r="W36" s="17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</row>
    <row r="37" spans="1:222" s="41" customFormat="1" ht="25.5">
      <c r="A37" s="79">
        <v>18</v>
      </c>
      <c r="B37" s="37"/>
      <c r="C37" s="37" t="s">
        <v>353</v>
      </c>
      <c r="D37" s="102" t="s">
        <v>51</v>
      </c>
      <c r="E37" s="108"/>
      <c r="F37" s="92"/>
      <c r="G37" s="36" t="s">
        <v>50</v>
      </c>
      <c r="H37" s="82" t="s">
        <v>42</v>
      </c>
      <c r="I37" s="36">
        <v>85653</v>
      </c>
      <c r="J37" s="106">
        <f t="shared" si="0"/>
        <v>1189.6300000000001</v>
      </c>
      <c r="K37" s="102">
        <v>0.6</v>
      </c>
      <c r="L37" s="107">
        <f t="shared" si="1"/>
        <v>714</v>
      </c>
      <c r="M37" s="102"/>
      <c r="N37" s="102"/>
      <c r="O37" s="102"/>
      <c r="P37" s="102"/>
      <c r="Q37" s="77"/>
      <c r="R37" s="102"/>
      <c r="S37" s="102"/>
      <c r="T37" s="77"/>
      <c r="U37" s="77">
        <f t="shared" si="3"/>
        <v>71</v>
      </c>
      <c r="V37" s="77">
        <f t="shared" si="4"/>
        <v>785</v>
      </c>
    </row>
    <row r="38" spans="1:222" s="41" customFormat="1" ht="25.5">
      <c r="A38" s="102">
        <v>19</v>
      </c>
      <c r="B38" s="37"/>
      <c r="C38" s="37" t="s">
        <v>360</v>
      </c>
      <c r="D38" s="102" t="s">
        <v>51</v>
      </c>
      <c r="E38" s="108"/>
      <c r="F38" s="92"/>
      <c r="G38" s="36" t="s">
        <v>50</v>
      </c>
      <c r="H38" s="82" t="s">
        <v>42</v>
      </c>
      <c r="I38" s="36">
        <v>85653</v>
      </c>
      <c r="J38" s="75">
        <f>I38/72</f>
        <v>1189.6300000000001</v>
      </c>
      <c r="K38" s="76">
        <v>2</v>
      </c>
      <c r="L38" s="107">
        <f t="shared" si="1"/>
        <v>2379</v>
      </c>
      <c r="M38" s="102"/>
      <c r="N38" s="102"/>
      <c r="O38" s="102"/>
      <c r="P38" s="102"/>
      <c r="Q38" s="77">
        <f>17697*20%/72*P38</f>
        <v>0</v>
      </c>
      <c r="R38" s="102"/>
      <c r="S38" s="102"/>
      <c r="T38" s="77"/>
      <c r="U38" s="77">
        <f t="shared" si="3"/>
        <v>238</v>
      </c>
      <c r="V38" s="77">
        <f t="shared" si="4"/>
        <v>2617</v>
      </c>
    </row>
    <row r="39" spans="1:222" s="41" customFormat="1" ht="25.5">
      <c r="A39" s="79">
        <v>20</v>
      </c>
      <c r="B39" s="37"/>
      <c r="C39" s="93" t="s">
        <v>342</v>
      </c>
      <c r="D39" s="102" t="s">
        <v>51</v>
      </c>
      <c r="E39" s="94"/>
      <c r="F39" s="94"/>
      <c r="G39" s="36" t="s">
        <v>50</v>
      </c>
      <c r="H39" s="82" t="s">
        <v>42</v>
      </c>
      <c r="I39" s="36">
        <v>85653</v>
      </c>
      <c r="J39" s="75">
        <f>I39/72</f>
        <v>1189.6300000000001</v>
      </c>
      <c r="K39" s="102">
        <f>7.2+10</f>
        <v>17.2</v>
      </c>
      <c r="L39" s="107">
        <f t="shared" si="1"/>
        <v>20462</v>
      </c>
      <c r="M39" s="102"/>
      <c r="N39" s="102"/>
      <c r="O39" s="102"/>
      <c r="P39" s="102"/>
      <c r="Q39" s="77">
        <f t="shared" si="5"/>
        <v>0</v>
      </c>
      <c r="R39" s="102"/>
      <c r="S39" s="102"/>
      <c r="T39" s="77"/>
      <c r="U39" s="77">
        <f t="shared" si="3"/>
        <v>2046</v>
      </c>
      <c r="V39" s="77">
        <f t="shared" si="4"/>
        <v>22508</v>
      </c>
    </row>
    <row r="40" spans="1:222" s="41" customFormat="1" ht="14.25">
      <c r="A40" s="104"/>
      <c r="B40" s="104" t="s">
        <v>8</v>
      </c>
      <c r="C40" s="102"/>
      <c r="D40" s="102"/>
      <c r="E40" s="102"/>
      <c r="F40" s="102"/>
      <c r="G40" s="104"/>
      <c r="H40" s="102"/>
      <c r="I40" s="102"/>
      <c r="J40" s="75"/>
      <c r="K40" s="75">
        <f>SUM(K20:K39)</f>
        <v>199.6</v>
      </c>
      <c r="L40" s="75">
        <f>SUM(L20:L39)</f>
        <v>247847</v>
      </c>
      <c r="M40" s="75">
        <f>SUM(M20:M39)</f>
        <v>4424</v>
      </c>
      <c r="N40" s="75">
        <f>SUM(N20:N39)</f>
        <v>4424</v>
      </c>
      <c r="O40" s="75"/>
      <c r="P40" s="75">
        <f t="shared" ref="P40:V40" si="6">SUM(P20:P39)</f>
        <v>82.2</v>
      </c>
      <c r="Q40" s="75">
        <f t="shared" si="6"/>
        <v>4361</v>
      </c>
      <c r="R40" s="75">
        <f t="shared" si="6"/>
        <v>0</v>
      </c>
      <c r="S40" s="75">
        <f t="shared" si="6"/>
        <v>0</v>
      </c>
      <c r="T40" s="75">
        <f t="shared" si="6"/>
        <v>0</v>
      </c>
      <c r="U40" s="75">
        <f t="shared" si="6"/>
        <v>24787</v>
      </c>
      <c r="V40" s="75">
        <f t="shared" si="6"/>
        <v>285843</v>
      </c>
    </row>
    <row r="41" spans="1:222" s="41" customFormat="1" ht="14.25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 t="s">
        <v>213</v>
      </c>
      <c r="P41" s="96"/>
      <c r="Q41" s="96"/>
      <c r="R41" s="96"/>
      <c r="S41" s="97"/>
      <c r="T41" s="97"/>
      <c r="U41" s="98"/>
      <c r="V41" s="98"/>
    </row>
    <row r="42" spans="1:222" s="41" customFormat="1" ht="14.2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</row>
    <row r="43" spans="1:222" s="41" customFormat="1" ht="14.25">
      <c r="A43" s="99" t="s">
        <v>0</v>
      </c>
      <c r="B43" s="99"/>
      <c r="C43" s="99"/>
      <c r="D43" s="99"/>
      <c r="E43" s="100"/>
      <c r="F43" s="100"/>
      <c r="G43" s="100"/>
      <c r="H43" s="100"/>
      <c r="I43" s="100"/>
      <c r="J43" s="100"/>
      <c r="K43" s="100"/>
      <c r="L43" s="100"/>
      <c r="M43" s="100"/>
      <c r="N43" s="69" t="s">
        <v>1</v>
      </c>
      <c r="O43" s="69"/>
      <c r="P43" s="69"/>
      <c r="Q43" s="69"/>
      <c r="R43" s="69"/>
      <c r="S43" s="69"/>
      <c r="T43" s="69"/>
      <c r="U43" s="70"/>
      <c r="V43" s="70"/>
    </row>
    <row r="44" spans="1:222" s="41" customFormat="1" ht="14.25">
      <c r="A44" s="99" t="s">
        <v>2</v>
      </c>
      <c r="B44" s="99"/>
      <c r="C44" s="99"/>
      <c r="D44" s="99"/>
      <c r="E44" s="100"/>
      <c r="F44" s="100"/>
      <c r="G44" s="100"/>
      <c r="H44" s="100"/>
      <c r="I44" s="100"/>
      <c r="J44" s="100"/>
      <c r="K44" s="100"/>
      <c r="L44" s="100"/>
      <c r="M44" s="100"/>
      <c r="N44" s="69" t="s">
        <v>3</v>
      </c>
      <c r="O44" s="69"/>
      <c r="P44" s="69"/>
      <c r="Q44" s="69"/>
      <c r="R44" s="69"/>
      <c r="S44" s="69"/>
      <c r="T44" s="69"/>
      <c r="U44" s="70"/>
      <c r="V44" s="70"/>
    </row>
    <row r="45" spans="1:222" s="41" customFormat="1" ht="14.25">
      <c r="A45" s="99"/>
      <c r="B45" s="99"/>
      <c r="C45" s="99"/>
      <c r="D45" s="99"/>
      <c r="E45" s="100"/>
      <c r="F45" s="100"/>
      <c r="G45" s="100"/>
      <c r="H45" s="100"/>
      <c r="I45" s="100"/>
      <c r="J45" s="100"/>
      <c r="K45" s="100"/>
      <c r="L45" s="100"/>
      <c r="M45" s="100"/>
      <c r="N45" s="68" t="s">
        <v>4</v>
      </c>
      <c r="O45" s="68"/>
      <c r="P45" s="68"/>
      <c r="Q45" s="68"/>
      <c r="R45" s="68"/>
      <c r="S45" s="68"/>
      <c r="T45" s="68"/>
      <c r="U45" s="70"/>
      <c r="V45" s="70"/>
    </row>
    <row r="46" spans="1:222" s="2" customFormat="1">
      <c r="A46" s="99" t="s">
        <v>5</v>
      </c>
      <c r="B46" s="99"/>
      <c r="C46" s="99" t="s">
        <v>6</v>
      </c>
      <c r="D46" s="99"/>
      <c r="E46" s="462" t="s">
        <v>183</v>
      </c>
      <c r="F46" s="462"/>
      <c r="G46" s="462"/>
      <c r="H46" s="462"/>
      <c r="I46" s="462"/>
      <c r="J46" s="462"/>
      <c r="K46" s="462"/>
      <c r="L46" s="462"/>
      <c r="M46" s="70"/>
      <c r="N46" s="69" t="s">
        <v>139</v>
      </c>
      <c r="O46" s="69"/>
      <c r="P46" s="69"/>
      <c r="Q46" s="69"/>
      <c r="R46" s="69"/>
      <c r="S46" s="69"/>
      <c r="T46" s="69"/>
      <c r="U46" s="70"/>
      <c r="V46" s="70"/>
    </row>
    <row r="47" spans="1:222" s="2" customFormat="1">
      <c r="A47" s="99"/>
      <c r="B47" s="99"/>
      <c r="C47" s="99"/>
      <c r="D47" s="99"/>
      <c r="E47" s="463" t="s">
        <v>184</v>
      </c>
      <c r="F47" s="463"/>
      <c r="G47" s="463"/>
      <c r="H47" s="463"/>
      <c r="I47" s="463"/>
      <c r="J47" s="463"/>
      <c r="K47" s="463"/>
      <c r="L47" s="463"/>
      <c r="M47" s="463"/>
      <c r="N47" s="100"/>
      <c r="O47" s="100"/>
      <c r="P47" s="100"/>
      <c r="Q47" s="100"/>
      <c r="R47" s="100"/>
      <c r="S47" s="100"/>
      <c r="T47" s="100"/>
      <c r="U47" s="100"/>
      <c r="V47" s="70"/>
    </row>
    <row r="48" spans="1:222" s="2" customFormat="1">
      <c r="A48" s="100"/>
      <c r="B48" s="100"/>
      <c r="C48" s="100"/>
      <c r="D48" s="100"/>
      <c r="E48" s="464" t="s">
        <v>219</v>
      </c>
      <c r="F48" s="464"/>
      <c r="G48" s="464"/>
      <c r="H48" s="464"/>
      <c r="I48" s="464"/>
      <c r="J48" s="464"/>
      <c r="K48" s="464"/>
      <c r="L48" s="464"/>
      <c r="M48" s="464"/>
      <c r="N48" s="100"/>
      <c r="O48" s="100"/>
      <c r="P48" s="100"/>
      <c r="Q48" s="100"/>
      <c r="R48" s="100"/>
      <c r="S48" s="100"/>
      <c r="T48" s="100"/>
      <c r="U48" s="100"/>
      <c r="V48" s="70"/>
    </row>
    <row r="49" spans="1:22" s="2" customFormat="1">
      <c r="A49" s="100"/>
      <c r="B49" s="100"/>
      <c r="C49" s="100"/>
      <c r="D49" s="100"/>
      <c r="E49" s="464" t="s">
        <v>7</v>
      </c>
      <c r="F49" s="464"/>
      <c r="G49" s="464"/>
      <c r="H49" s="464"/>
      <c r="I49" s="464"/>
      <c r="J49" s="464"/>
      <c r="K49" s="464"/>
      <c r="L49" s="464"/>
      <c r="M49" s="464"/>
      <c r="N49" s="100"/>
      <c r="O49" s="100"/>
      <c r="P49" s="100"/>
      <c r="Q49" s="100"/>
      <c r="R49" s="100"/>
      <c r="S49" s="100"/>
      <c r="T49" s="100"/>
      <c r="U49" s="100"/>
      <c r="V49" s="70"/>
    </row>
    <row r="50" spans="1:22" s="2" customFormat="1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 t="s">
        <v>185</v>
      </c>
      <c r="R50" s="100"/>
      <c r="S50" s="100"/>
      <c r="T50" s="100"/>
      <c r="U50" s="100"/>
      <c r="V50" s="70"/>
    </row>
    <row r="51" spans="1:22" s="2" customFormat="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 t="s">
        <v>265</v>
      </c>
      <c r="R51" s="100"/>
      <c r="S51" s="100"/>
      <c r="T51" s="100"/>
      <c r="U51" s="100"/>
      <c r="V51" s="70"/>
    </row>
    <row r="52" spans="1:22" s="2" customFormat="1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 t="s">
        <v>186</v>
      </c>
      <c r="R52" s="70"/>
      <c r="S52" s="70"/>
      <c r="T52" s="70" t="s">
        <v>413</v>
      </c>
      <c r="U52" s="70"/>
      <c r="V52" s="70"/>
    </row>
    <row r="53" spans="1:22" s="2" customFormat="1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 t="s">
        <v>188</v>
      </c>
      <c r="R53" s="70"/>
      <c r="S53" s="70"/>
      <c r="T53" s="70">
        <v>3</v>
      </c>
      <c r="U53" s="70"/>
      <c r="V53" s="70"/>
    </row>
    <row r="54" spans="1:22" s="2" customFormat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 t="s">
        <v>189</v>
      </c>
      <c r="R54" s="70"/>
      <c r="S54" s="70"/>
      <c r="T54" s="70">
        <v>23</v>
      </c>
      <c r="U54" s="70" t="s">
        <v>190</v>
      </c>
      <c r="V54" s="70"/>
    </row>
    <row r="55" spans="1:22" s="2" customFormat="1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 t="s">
        <v>191</v>
      </c>
      <c r="R55" s="70"/>
      <c r="S55" s="70"/>
      <c r="T55" s="70">
        <v>23</v>
      </c>
      <c r="U55" s="70">
        <f>T55*100/T54</f>
        <v>100</v>
      </c>
      <c r="V55" s="70" t="s">
        <v>17</v>
      </c>
    </row>
    <row r="56" spans="1:22" s="2" customForma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 t="s">
        <v>192</v>
      </c>
      <c r="R56" s="70"/>
      <c r="S56" s="70"/>
      <c r="T56" s="70">
        <v>0</v>
      </c>
      <c r="U56" s="70">
        <f>T56*100/T54</f>
        <v>0</v>
      </c>
      <c r="V56" s="70" t="s">
        <v>17</v>
      </c>
    </row>
    <row r="57" spans="1:22" s="2" customForma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 t="s">
        <v>193</v>
      </c>
      <c r="R57" s="70"/>
      <c r="S57" s="70"/>
      <c r="T57" s="324">
        <f>K71</f>
        <v>157.19999999999999</v>
      </c>
      <c r="U57" s="70"/>
      <c r="V57" s="70"/>
    </row>
    <row r="58" spans="1:22" s="2" customFormat="1">
      <c r="A58" s="70"/>
      <c r="B58" s="70" t="s">
        <v>417</v>
      </c>
      <c r="C58" s="70" t="s">
        <v>414</v>
      </c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</row>
    <row r="59" spans="1:22" s="2" customFormat="1">
      <c r="A59" s="459" t="s">
        <v>195</v>
      </c>
      <c r="B59" s="459" t="s">
        <v>196</v>
      </c>
      <c r="C59" s="459" t="s">
        <v>197</v>
      </c>
      <c r="D59" s="459" t="s">
        <v>198</v>
      </c>
      <c r="E59" s="459" t="s">
        <v>10</v>
      </c>
      <c r="F59" s="459" t="s">
        <v>199</v>
      </c>
      <c r="G59" s="459" t="s">
        <v>200</v>
      </c>
      <c r="H59" s="459" t="s">
        <v>201</v>
      </c>
      <c r="I59" s="459" t="s">
        <v>247</v>
      </c>
      <c r="J59" s="459" t="s">
        <v>11</v>
      </c>
      <c r="K59" s="459" t="s">
        <v>203</v>
      </c>
      <c r="L59" s="459" t="s">
        <v>12</v>
      </c>
      <c r="M59" s="458" t="s">
        <v>204</v>
      </c>
      <c r="N59" s="458"/>
      <c r="O59" s="458"/>
      <c r="P59" s="458"/>
      <c r="Q59" s="458"/>
      <c r="R59" s="458"/>
      <c r="S59" s="458"/>
      <c r="T59" s="458"/>
      <c r="U59" s="459" t="s">
        <v>320</v>
      </c>
      <c r="V59" s="459" t="s">
        <v>206</v>
      </c>
    </row>
    <row r="60" spans="1:22" s="2" customFormat="1">
      <c r="A60" s="460"/>
      <c r="B60" s="460"/>
      <c r="C60" s="460"/>
      <c r="D60" s="460"/>
      <c r="E60" s="460"/>
      <c r="F60" s="460"/>
      <c r="G60" s="460"/>
      <c r="H60" s="460"/>
      <c r="I60" s="460"/>
      <c r="J60" s="460"/>
      <c r="K60" s="460"/>
      <c r="L60" s="460"/>
      <c r="M60" s="459" t="s">
        <v>207</v>
      </c>
      <c r="N60" s="459" t="s">
        <v>15</v>
      </c>
      <c r="O60" s="458" t="s">
        <v>16</v>
      </c>
      <c r="P60" s="458"/>
      <c r="Q60" s="458"/>
      <c r="R60" s="459"/>
      <c r="S60" s="459"/>
      <c r="T60" s="459"/>
      <c r="U60" s="460"/>
      <c r="V60" s="460"/>
    </row>
    <row r="61" spans="1:22" s="2" customFormat="1" ht="72.75" customHeight="1">
      <c r="A61" s="461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1"/>
      <c r="O61" s="71" t="s">
        <v>17</v>
      </c>
      <c r="P61" s="71" t="s">
        <v>18</v>
      </c>
      <c r="Q61" s="71" t="s">
        <v>19</v>
      </c>
      <c r="R61" s="461"/>
      <c r="S61" s="461"/>
      <c r="T61" s="461"/>
      <c r="U61" s="461"/>
      <c r="V61" s="461"/>
    </row>
    <row r="62" spans="1:22" s="2" customFormat="1" ht="25.5">
      <c r="A62" s="102">
        <v>1</v>
      </c>
      <c r="B62" s="84"/>
      <c r="C62" s="84" t="s">
        <v>100</v>
      </c>
      <c r="D62" s="37" t="s">
        <v>51</v>
      </c>
      <c r="E62" s="84" t="s">
        <v>101</v>
      </c>
      <c r="F62" s="84" t="s">
        <v>102</v>
      </c>
      <c r="G62" s="84" t="s">
        <v>166</v>
      </c>
      <c r="H62" s="74" t="s">
        <v>25</v>
      </c>
      <c r="I62" s="82">
        <v>92201</v>
      </c>
      <c r="J62" s="75">
        <f>I62/72</f>
        <v>1280.57</v>
      </c>
      <c r="K62" s="76">
        <v>8</v>
      </c>
      <c r="L62" s="77">
        <f>J62*K62</f>
        <v>10245</v>
      </c>
      <c r="M62" s="102"/>
      <c r="N62" s="102"/>
      <c r="O62" s="102"/>
      <c r="P62" s="102"/>
      <c r="Q62" s="77">
        <f>17697*25%/72*P62</f>
        <v>0</v>
      </c>
      <c r="R62" s="77"/>
      <c r="S62" s="77"/>
      <c r="T62" s="77"/>
      <c r="U62" s="77">
        <f>L62*10%</f>
        <v>1025</v>
      </c>
      <c r="V62" s="77">
        <f>M62+N62+Q62+R62+T62+U62+S62+L62</f>
        <v>11270</v>
      </c>
    </row>
    <row r="63" spans="1:22" s="2" customFormat="1" ht="63.75">
      <c r="A63" s="79">
        <v>2</v>
      </c>
      <c r="B63" s="80"/>
      <c r="C63" s="81" t="s">
        <v>325</v>
      </c>
      <c r="D63" s="37" t="s">
        <v>51</v>
      </c>
      <c r="E63" s="80" t="s">
        <v>107</v>
      </c>
      <c r="F63" s="37" t="s">
        <v>108</v>
      </c>
      <c r="G63" s="90" t="s">
        <v>142</v>
      </c>
      <c r="H63" s="82" t="s">
        <v>25</v>
      </c>
      <c r="I63" s="82">
        <v>90609</v>
      </c>
      <c r="J63" s="75">
        <f t="shared" ref="J63:J68" si="7">I63/72</f>
        <v>1258.46</v>
      </c>
      <c r="K63" s="76">
        <v>3.6</v>
      </c>
      <c r="L63" s="77">
        <f t="shared" ref="L63:L70" si="8">J63*K63</f>
        <v>4530</v>
      </c>
      <c r="M63" s="102"/>
      <c r="N63" s="102"/>
      <c r="O63" s="102"/>
      <c r="P63" s="102"/>
      <c r="Q63" s="77">
        <f t="shared" ref="Q63" si="9">17697*25%/72*P63</f>
        <v>0</v>
      </c>
      <c r="R63" s="102"/>
      <c r="S63" s="102"/>
      <c r="T63" s="77"/>
      <c r="U63" s="77">
        <f t="shared" ref="U63:U70" si="10">L63*10%</f>
        <v>453</v>
      </c>
      <c r="V63" s="77">
        <f t="shared" ref="V63:V70" si="11">M63+N63+Q63+R63+T63+U63+S63+L63</f>
        <v>4983</v>
      </c>
    </row>
    <row r="64" spans="1:22" s="2" customFormat="1" ht="39" customHeight="1">
      <c r="A64" s="102">
        <v>3</v>
      </c>
      <c r="B64" s="94"/>
      <c r="C64" s="94" t="s">
        <v>418</v>
      </c>
      <c r="D64" s="37" t="s">
        <v>51</v>
      </c>
      <c r="E64" s="94" t="s">
        <v>225</v>
      </c>
      <c r="F64" s="94" t="s">
        <v>226</v>
      </c>
      <c r="G64" s="108" t="s">
        <v>147</v>
      </c>
      <c r="H64" s="86" t="s">
        <v>25</v>
      </c>
      <c r="I64" s="94">
        <v>89016</v>
      </c>
      <c r="J64" s="75">
        <f t="shared" si="7"/>
        <v>1236.33</v>
      </c>
      <c r="K64" s="76">
        <f>4.8+3.2</f>
        <v>8</v>
      </c>
      <c r="L64" s="77">
        <f t="shared" si="8"/>
        <v>9891</v>
      </c>
      <c r="M64" s="102"/>
      <c r="N64" s="102"/>
      <c r="O64" s="102"/>
      <c r="P64" s="102"/>
      <c r="Q64" s="77">
        <f>17697*25%/72*P64</f>
        <v>0</v>
      </c>
      <c r="R64" s="102"/>
      <c r="S64" s="102"/>
      <c r="T64" s="77"/>
      <c r="U64" s="77">
        <f t="shared" si="10"/>
        <v>989</v>
      </c>
      <c r="V64" s="77">
        <f t="shared" si="11"/>
        <v>10880</v>
      </c>
    </row>
    <row r="65" spans="1:22" s="2" customFormat="1" ht="76.5">
      <c r="A65" s="79">
        <v>4</v>
      </c>
      <c r="B65" s="37"/>
      <c r="C65" s="37" t="s">
        <v>421</v>
      </c>
      <c r="D65" s="37" t="s">
        <v>51</v>
      </c>
      <c r="E65" s="37" t="s">
        <v>80</v>
      </c>
      <c r="F65" s="37" t="s">
        <v>81</v>
      </c>
      <c r="G65" s="80" t="s">
        <v>105</v>
      </c>
      <c r="H65" s="82" t="s">
        <v>42</v>
      </c>
      <c r="I65" s="74">
        <v>89016</v>
      </c>
      <c r="J65" s="75">
        <f t="shared" si="7"/>
        <v>1236.33</v>
      </c>
      <c r="K65" s="76">
        <f>6+5.6+8.2+2</f>
        <v>21.8</v>
      </c>
      <c r="L65" s="77">
        <f t="shared" si="8"/>
        <v>26952</v>
      </c>
      <c r="M65" s="102"/>
      <c r="N65" s="102"/>
      <c r="O65" s="102"/>
      <c r="P65" s="102"/>
      <c r="Q65" s="77">
        <f>17697*20%/72*P65</f>
        <v>0</v>
      </c>
      <c r="R65" s="102"/>
      <c r="S65" s="102"/>
      <c r="T65" s="77"/>
      <c r="U65" s="77">
        <f t="shared" si="10"/>
        <v>2695</v>
      </c>
      <c r="V65" s="77">
        <f t="shared" si="11"/>
        <v>29647</v>
      </c>
    </row>
    <row r="66" spans="1:22" s="2" customFormat="1" ht="76.5">
      <c r="A66" s="102">
        <v>5</v>
      </c>
      <c r="B66" s="37"/>
      <c r="C66" s="37" t="s">
        <v>420</v>
      </c>
      <c r="D66" s="37" t="s">
        <v>51</v>
      </c>
      <c r="E66" s="80" t="s">
        <v>26</v>
      </c>
      <c r="F66" s="37" t="s">
        <v>40</v>
      </c>
      <c r="G66" s="80" t="s">
        <v>144</v>
      </c>
      <c r="H66" s="82" t="s">
        <v>42</v>
      </c>
      <c r="I66" s="74">
        <v>93971</v>
      </c>
      <c r="J66" s="75">
        <f t="shared" si="7"/>
        <v>1305.1500000000001</v>
      </c>
      <c r="K66" s="102">
        <f>6+7.8+8+5+8.2</f>
        <v>35</v>
      </c>
      <c r="L66" s="77">
        <f t="shared" si="8"/>
        <v>45680</v>
      </c>
      <c r="M66" s="102"/>
      <c r="N66" s="102"/>
      <c r="O66" s="102"/>
      <c r="P66" s="102"/>
      <c r="Q66" s="77">
        <f>17697*20%/72*P66</f>
        <v>0</v>
      </c>
      <c r="R66" s="102"/>
      <c r="S66" s="102"/>
      <c r="T66" s="77"/>
      <c r="U66" s="77">
        <f t="shared" si="10"/>
        <v>4568</v>
      </c>
      <c r="V66" s="77">
        <f t="shared" si="11"/>
        <v>50248</v>
      </c>
    </row>
    <row r="67" spans="1:22" s="2" customFormat="1" ht="84.75" customHeight="1">
      <c r="A67" s="79">
        <v>6</v>
      </c>
      <c r="B67" s="86"/>
      <c r="C67" s="87" t="s">
        <v>419</v>
      </c>
      <c r="D67" s="37" t="s">
        <v>51</v>
      </c>
      <c r="E67" s="86" t="s">
        <v>26</v>
      </c>
      <c r="F67" s="86" t="s">
        <v>48</v>
      </c>
      <c r="G67" s="86" t="s">
        <v>145</v>
      </c>
      <c r="H67" s="88" t="s">
        <v>25</v>
      </c>
      <c r="I67" s="88">
        <v>85653</v>
      </c>
      <c r="J67" s="75">
        <f t="shared" si="7"/>
        <v>1189.6300000000001</v>
      </c>
      <c r="K67" s="76">
        <f>13+4+5+4.6</f>
        <v>26.6</v>
      </c>
      <c r="L67" s="77">
        <f t="shared" si="8"/>
        <v>31644</v>
      </c>
      <c r="M67" s="102"/>
      <c r="N67" s="102"/>
      <c r="O67" s="102"/>
      <c r="P67" s="102"/>
      <c r="Q67" s="77">
        <f t="shared" ref="Q67:Q68" si="12">17697*20%/72*P67</f>
        <v>0</v>
      </c>
      <c r="R67" s="102"/>
      <c r="S67" s="102"/>
      <c r="T67" s="77"/>
      <c r="U67" s="77">
        <f t="shared" si="10"/>
        <v>3164</v>
      </c>
      <c r="V67" s="77">
        <f t="shared" si="11"/>
        <v>34808</v>
      </c>
    </row>
    <row r="68" spans="1:22" s="2" customFormat="1" ht="36.75" customHeight="1">
      <c r="A68" s="102">
        <v>7</v>
      </c>
      <c r="B68" s="89"/>
      <c r="C68" s="363" t="s">
        <v>540</v>
      </c>
      <c r="D68" s="37" t="s">
        <v>51</v>
      </c>
      <c r="E68" s="36" t="s">
        <v>38</v>
      </c>
      <c r="F68" s="80" t="s">
        <v>73</v>
      </c>
      <c r="G68" s="80" t="s">
        <v>158</v>
      </c>
      <c r="H68" s="82" t="s">
        <v>25</v>
      </c>
      <c r="I68" s="82">
        <v>82468</v>
      </c>
      <c r="J68" s="75">
        <f t="shared" si="7"/>
        <v>1145.3900000000001</v>
      </c>
      <c r="K68" s="76">
        <v>3</v>
      </c>
      <c r="L68" s="77">
        <f t="shared" si="8"/>
        <v>3436</v>
      </c>
      <c r="M68" s="102"/>
      <c r="N68" s="102">
        <v>5309</v>
      </c>
      <c r="O68" s="102"/>
      <c r="P68" s="102"/>
      <c r="Q68" s="77">
        <f t="shared" si="12"/>
        <v>0</v>
      </c>
      <c r="R68" s="102"/>
      <c r="S68" s="102"/>
      <c r="T68" s="77"/>
      <c r="U68" s="77">
        <f t="shared" si="10"/>
        <v>344</v>
      </c>
      <c r="V68" s="77">
        <f t="shared" si="11"/>
        <v>9089</v>
      </c>
    </row>
    <row r="69" spans="1:22" s="2" customFormat="1" ht="36.75" customHeight="1">
      <c r="A69" s="79">
        <v>8</v>
      </c>
      <c r="B69" s="89"/>
      <c r="C69" s="130" t="s">
        <v>493</v>
      </c>
      <c r="D69" s="37"/>
      <c r="E69" s="91"/>
      <c r="F69" s="86"/>
      <c r="G69" s="80"/>
      <c r="H69" s="82"/>
      <c r="I69" s="82"/>
      <c r="J69" s="75"/>
      <c r="K69" s="76"/>
      <c r="L69" s="107"/>
      <c r="M69" s="102">
        <v>4424</v>
      </c>
      <c r="N69" s="102"/>
      <c r="O69" s="102"/>
      <c r="P69" s="102"/>
      <c r="Q69" s="77"/>
      <c r="R69" s="102"/>
      <c r="S69" s="102"/>
      <c r="T69" s="77"/>
      <c r="U69" s="77">
        <f t="shared" si="10"/>
        <v>0</v>
      </c>
      <c r="V69" s="77">
        <f t="shared" si="11"/>
        <v>4424</v>
      </c>
    </row>
    <row r="70" spans="1:22" s="2" customFormat="1" ht="38.25">
      <c r="A70" s="102">
        <v>9</v>
      </c>
      <c r="B70" s="37"/>
      <c r="C70" s="93" t="s">
        <v>422</v>
      </c>
      <c r="D70" s="102" t="s">
        <v>51</v>
      </c>
      <c r="E70" s="94"/>
      <c r="F70" s="94"/>
      <c r="G70" s="36" t="s">
        <v>50</v>
      </c>
      <c r="H70" s="82" t="s">
        <v>42</v>
      </c>
      <c r="I70" s="36">
        <v>85653</v>
      </c>
      <c r="J70" s="75">
        <f>I70/72</f>
        <v>1189.6300000000001</v>
      </c>
      <c r="K70" s="102">
        <f>1.8+1.8+10+37.6</f>
        <v>51.2</v>
      </c>
      <c r="L70" s="107">
        <f t="shared" si="8"/>
        <v>60909</v>
      </c>
      <c r="M70" s="102"/>
      <c r="N70" s="102"/>
      <c r="O70" s="102"/>
      <c r="P70" s="102"/>
      <c r="Q70" s="77">
        <f t="shared" ref="Q70" si="13">17697*20%/72*P70</f>
        <v>0</v>
      </c>
      <c r="R70" s="102"/>
      <c r="S70" s="102"/>
      <c r="T70" s="77"/>
      <c r="U70" s="77">
        <f t="shared" si="10"/>
        <v>6091</v>
      </c>
      <c r="V70" s="77">
        <f t="shared" si="11"/>
        <v>67000</v>
      </c>
    </row>
    <row r="71" spans="1:22" s="2" customFormat="1">
      <c r="A71" s="104"/>
      <c r="B71" s="104" t="s">
        <v>8</v>
      </c>
      <c r="C71" s="102"/>
      <c r="D71" s="102"/>
      <c r="E71" s="102"/>
      <c r="F71" s="102"/>
      <c r="G71" s="104"/>
      <c r="H71" s="102"/>
      <c r="I71" s="102"/>
      <c r="J71" s="75"/>
      <c r="K71" s="75">
        <f>SUM(K62:K70)</f>
        <v>157.19999999999999</v>
      </c>
      <c r="L71" s="75">
        <f t="shared" ref="L71:V71" si="14">SUM(L62:L70)</f>
        <v>193287</v>
      </c>
      <c r="M71" s="75">
        <f t="shared" si="14"/>
        <v>4424</v>
      </c>
      <c r="N71" s="75">
        <f t="shared" si="14"/>
        <v>5309</v>
      </c>
      <c r="O71" s="75">
        <f t="shared" si="14"/>
        <v>0</v>
      </c>
      <c r="P71" s="75">
        <f t="shared" si="14"/>
        <v>0</v>
      </c>
      <c r="Q71" s="75">
        <f t="shared" si="14"/>
        <v>0</v>
      </c>
      <c r="R71" s="75">
        <f t="shared" si="14"/>
        <v>0</v>
      </c>
      <c r="S71" s="75">
        <f t="shared" si="14"/>
        <v>0</v>
      </c>
      <c r="T71" s="75">
        <f t="shared" si="14"/>
        <v>0</v>
      </c>
      <c r="U71" s="75">
        <f t="shared" si="14"/>
        <v>19329</v>
      </c>
      <c r="V71" s="75">
        <f t="shared" si="14"/>
        <v>222349</v>
      </c>
    </row>
    <row r="72" spans="1:22" s="2" customFormat="1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6" t="s">
        <v>213</v>
      </c>
      <c r="P72" s="96"/>
      <c r="Q72" s="96"/>
      <c r="R72" s="96"/>
      <c r="S72" s="97"/>
      <c r="T72" s="97"/>
      <c r="U72" s="98"/>
      <c r="V72" s="98"/>
    </row>
    <row r="73" spans="1:22" s="2" customForma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</row>
    <row r="74" spans="1:22" s="2" customForma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</row>
    <row r="75" spans="1:22" s="2" customFormat="1">
      <c r="A75" s="99" t="s">
        <v>0</v>
      </c>
      <c r="B75" s="99"/>
      <c r="C75" s="99"/>
      <c r="D75" s="99"/>
      <c r="E75" s="100"/>
      <c r="F75" s="100"/>
      <c r="G75" s="100"/>
      <c r="H75" s="100"/>
      <c r="I75" s="100"/>
      <c r="J75" s="100"/>
      <c r="K75" s="100"/>
      <c r="L75" s="100"/>
      <c r="M75" s="100"/>
      <c r="N75" s="69" t="s">
        <v>1</v>
      </c>
      <c r="O75" s="69"/>
      <c r="P75" s="69"/>
      <c r="Q75" s="69"/>
      <c r="R75" s="69"/>
      <c r="S75" s="69"/>
      <c r="T75" s="69"/>
      <c r="U75" s="70"/>
      <c r="V75" s="70"/>
    </row>
    <row r="76" spans="1:22" s="2" customFormat="1">
      <c r="A76" s="99" t="s">
        <v>2</v>
      </c>
      <c r="B76" s="99"/>
      <c r="C76" s="99"/>
      <c r="D76" s="99"/>
      <c r="E76" s="100"/>
      <c r="F76" s="100"/>
      <c r="G76" s="100"/>
      <c r="H76" s="100"/>
      <c r="I76" s="100"/>
      <c r="J76" s="100"/>
      <c r="K76" s="100"/>
      <c r="L76" s="100"/>
      <c r="M76" s="100"/>
      <c r="N76" s="69" t="s">
        <v>3</v>
      </c>
      <c r="O76" s="69"/>
      <c r="P76" s="69"/>
      <c r="Q76" s="69"/>
      <c r="R76" s="69"/>
      <c r="S76" s="69"/>
      <c r="T76" s="69"/>
      <c r="U76" s="70"/>
      <c r="V76" s="70"/>
    </row>
    <row r="77" spans="1:22" s="2" customFormat="1">
      <c r="A77" s="99"/>
      <c r="B77" s="99"/>
      <c r="C77" s="99"/>
      <c r="D77" s="99"/>
      <c r="E77" s="100"/>
      <c r="F77" s="100"/>
      <c r="G77" s="100"/>
      <c r="H77" s="100"/>
      <c r="I77" s="100"/>
      <c r="J77" s="100"/>
      <c r="K77" s="100"/>
      <c r="L77" s="100"/>
      <c r="M77" s="100"/>
      <c r="N77" s="68" t="s">
        <v>4</v>
      </c>
      <c r="O77" s="68"/>
      <c r="P77" s="68"/>
      <c r="Q77" s="68"/>
      <c r="R77" s="68"/>
      <c r="S77" s="68"/>
      <c r="T77" s="68"/>
      <c r="U77" s="70"/>
      <c r="V77" s="70"/>
    </row>
    <row r="78" spans="1:22" s="2" customFormat="1">
      <c r="A78" s="99" t="s">
        <v>5</v>
      </c>
      <c r="B78" s="99"/>
      <c r="C78" s="99" t="s">
        <v>6</v>
      </c>
      <c r="D78" s="99"/>
      <c r="E78" s="462" t="s">
        <v>183</v>
      </c>
      <c r="F78" s="462"/>
      <c r="G78" s="462"/>
      <c r="H78" s="462"/>
      <c r="I78" s="462"/>
      <c r="J78" s="462"/>
      <c r="K78" s="462"/>
      <c r="L78" s="462"/>
      <c r="M78" s="70"/>
      <c r="N78" s="69" t="s">
        <v>139</v>
      </c>
      <c r="O78" s="69"/>
      <c r="P78" s="69"/>
      <c r="Q78" s="69"/>
      <c r="R78" s="69"/>
      <c r="S78" s="69"/>
      <c r="T78" s="69"/>
      <c r="U78" s="70"/>
      <c r="V78" s="70"/>
    </row>
    <row r="79" spans="1:22" s="2" customFormat="1">
      <c r="A79" s="99"/>
      <c r="B79" s="99"/>
      <c r="C79" s="99"/>
      <c r="D79" s="99"/>
      <c r="E79" s="463" t="s">
        <v>184</v>
      </c>
      <c r="F79" s="463"/>
      <c r="G79" s="463"/>
      <c r="H79" s="463"/>
      <c r="I79" s="463"/>
      <c r="J79" s="463"/>
      <c r="K79" s="463"/>
      <c r="L79" s="463"/>
      <c r="M79" s="463"/>
      <c r="N79" s="100"/>
      <c r="O79" s="100"/>
      <c r="P79" s="100"/>
      <c r="Q79" s="100"/>
      <c r="R79" s="100"/>
      <c r="S79" s="100"/>
      <c r="T79" s="100"/>
      <c r="U79" s="100"/>
      <c r="V79" s="70"/>
    </row>
    <row r="80" spans="1:22" s="2" customFormat="1">
      <c r="A80" s="100"/>
      <c r="B80" s="100"/>
      <c r="C80" s="100"/>
      <c r="D80" s="100"/>
      <c r="E80" s="464" t="s">
        <v>219</v>
      </c>
      <c r="F80" s="464"/>
      <c r="G80" s="464"/>
      <c r="H80" s="464"/>
      <c r="I80" s="464"/>
      <c r="J80" s="464"/>
      <c r="K80" s="464"/>
      <c r="L80" s="464"/>
      <c r="M80" s="464"/>
      <c r="N80" s="100"/>
      <c r="O80" s="100"/>
      <c r="P80" s="100"/>
      <c r="Q80" s="100"/>
      <c r="R80" s="100"/>
      <c r="S80" s="100"/>
      <c r="T80" s="100"/>
      <c r="U80" s="100"/>
      <c r="V80" s="70"/>
    </row>
    <row r="81" spans="1:22" s="2" customFormat="1">
      <c r="A81" s="100"/>
      <c r="B81" s="100"/>
      <c r="C81" s="100"/>
      <c r="D81" s="100"/>
      <c r="E81" s="464" t="s">
        <v>7</v>
      </c>
      <c r="F81" s="464"/>
      <c r="G81" s="464"/>
      <c r="H81" s="464"/>
      <c r="I81" s="464"/>
      <c r="J81" s="464"/>
      <c r="K81" s="464"/>
      <c r="L81" s="464"/>
      <c r="M81" s="464"/>
      <c r="N81" s="100"/>
      <c r="O81" s="100"/>
      <c r="P81" s="100"/>
      <c r="Q81" s="100"/>
      <c r="R81" s="100"/>
      <c r="S81" s="100"/>
      <c r="T81" s="100"/>
      <c r="U81" s="100"/>
      <c r="V81" s="70"/>
    </row>
    <row r="82" spans="1:22" s="2" customFormat="1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 t="s">
        <v>185</v>
      </c>
      <c r="R82" s="100"/>
      <c r="S82" s="100"/>
      <c r="T82" s="100"/>
      <c r="U82" s="100"/>
      <c r="V82" s="70"/>
    </row>
    <row r="83" spans="1:22" s="2" customFormat="1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 t="s">
        <v>265</v>
      </c>
      <c r="R83" s="100"/>
      <c r="S83" s="100"/>
      <c r="T83" s="100"/>
      <c r="U83" s="100"/>
      <c r="V83" s="70"/>
    </row>
    <row r="84" spans="1:22" s="2" customForma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 t="s">
        <v>186</v>
      </c>
      <c r="R84" s="70"/>
      <c r="S84" s="70"/>
      <c r="T84" s="70" t="s">
        <v>413</v>
      </c>
      <c r="U84" s="70"/>
      <c r="V84" s="70"/>
    </row>
    <row r="85" spans="1:22" s="2" customForma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 t="s">
        <v>188</v>
      </c>
      <c r="R85" s="70"/>
      <c r="S85" s="70"/>
      <c r="T85" s="70">
        <v>4</v>
      </c>
      <c r="U85" s="70"/>
      <c r="V85" s="70"/>
    </row>
    <row r="86" spans="1:22" s="2" customForma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 t="s">
        <v>189</v>
      </c>
      <c r="R86" s="70"/>
      <c r="S86" s="70"/>
      <c r="T86" s="70">
        <v>20</v>
      </c>
      <c r="U86" s="70" t="s">
        <v>190</v>
      </c>
      <c r="V86" s="70"/>
    </row>
    <row r="87" spans="1:22" s="2" customForma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 t="s">
        <v>191</v>
      </c>
      <c r="R87" s="70"/>
      <c r="S87" s="70"/>
      <c r="T87" s="70">
        <v>20</v>
      </c>
      <c r="U87" s="70">
        <f>T87*100/T86</f>
        <v>100</v>
      </c>
      <c r="V87" s="70" t="s">
        <v>17</v>
      </c>
    </row>
    <row r="88" spans="1:22" s="2" customForma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 t="s">
        <v>192</v>
      </c>
      <c r="R88" s="70"/>
      <c r="S88" s="70"/>
      <c r="T88" s="70">
        <v>0</v>
      </c>
      <c r="U88" s="70">
        <f>T88*100/T86</f>
        <v>0</v>
      </c>
      <c r="V88" s="70" t="s">
        <v>17</v>
      </c>
    </row>
    <row r="89" spans="1:22" s="2" customForma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 t="s">
        <v>193</v>
      </c>
      <c r="R89" s="70"/>
      <c r="S89" s="70"/>
      <c r="T89" s="324">
        <f>K100</f>
        <v>98.8</v>
      </c>
      <c r="U89" s="70"/>
      <c r="V89" s="70"/>
    </row>
    <row r="90" spans="1:22" s="2" customFormat="1">
      <c r="A90" s="70"/>
      <c r="B90" s="70" t="s">
        <v>423</v>
      </c>
      <c r="C90" s="70" t="s">
        <v>414</v>
      </c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</row>
    <row r="91" spans="1:22" s="2" customFormat="1">
      <c r="A91" s="459" t="s">
        <v>195</v>
      </c>
      <c r="B91" s="459" t="s">
        <v>196</v>
      </c>
      <c r="C91" s="459" t="s">
        <v>197</v>
      </c>
      <c r="D91" s="459" t="s">
        <v>198</v>
      </c>
      <c r="E91" s="459" t="s">
        <v>10</v>
      </c>
      <c r="F91" s="459" t="s">
        <v>199</v>
      </c>
      <c r="G91" s="459" t="s">
        <v>200</v>
      </c>
      <c r="H91" s="459" t="s">
        <v>201</v>
      </c>
      <c r="I91" s="459" t="s">
        <v>247</v>
      </c>
      <c r="J91" s="459" t="s">
        <v>11</v>
      </c>
      <c r="K91" s="459" t="s">
        <v>203</v>
      </c>
      <c r="L91" s="459" t="s">
        <v>12</v>
      </c>
      <c r="M91" s="458" t="s">
        <v>204</v>
      </c>
      <c r="N91" s="458"/>
      <c r="O91" s="458"/>
      <c r="P91" s="458"/>
      <c r="Q91" s="458"/>
      <c r="R91" s="458"/>
      <c r="S91" s="458"/>
      <c r="T91" s="458"/>
      <c r="U91" s="459" t="s">
        <v>320</v>
      </c>
      <c r="V91" s="459" t="s">
        <v>206</v>
      </c>
    </row>
    <row r="92" spans="1:22" s="2" customFormat="1">
      <c r="A92" s="460"/>
      <c r="B92" s="460"/>
      <c r="C92" s="460"/>
      <c r="D92" s="460"/>
      <c r="E92" s="460"/>
      <c r="F92" s="460"/>
      <c r="G92" s="460"/>
      <c r="H92" s="460"/>
      <c r="I92" s="460"/>
      <c r="J92" s="460"/>
      <c r="K92" s="460"/>
      <c r="L92" s="460"/>
      <c r="M92" s="459" t="s">
        <v>207</v>
      </c>
      <c r="N92" s="459" t="s">
        <v>15</v>
      </c>
      <c r="O92" s="458" t="s">
        <v>16</v>
      </c>
      <c r="P92" s="458"/>
      <c r="Q92" s="458"/>
      <c r="R92" s="459"/>
      <c r="S92" s="459"/>
      <c r="T92" s="459"/>
      <c r="U92" s="460"/>
      <c r="V92" s="460"/>
    </row>
    <row r="93" spans="1:22" s="2" customFormat="1" ht="25.5">
      <c r="A93" s="461"/>
      <c r="B93" s="461"/>
      <c r="C93" s="461"/>
      <c r="D93" s="461"/>
      <c r="E93" s="461"/>
      <c r="F93" s="461"/>
      <c r="G93" s="461"/>
      <c r="H93" s="461"/>
      <c r="I93" s="461"/>
      <c r="J93" s="461"/>
      <c r="K93" s="461"/>
      <c r="L93" s="461"/>
      <c r="M93" s="461"/>
      <c r="N93" s="461"/>
      <c r="O93" s="71" t="s">
        <v>17</v>
      </c>
      <c r="P93" s="71" t="s">
        <v>18</v>
      </c>
      <c r="Q93" s="71" t="s">
        <v>19</v>
      </c>
      <c r="R93" s="461"/>
      <c r="S93" s="461"/>
      <c r="T93" s="461"/>
      <c r="U93" s="461"/>
      <c r="V93" s="461"/>
    </row>
    <row r="94" spans="1:22" s="2" customFormat="1" ht="25.5">
      <c r="A94" s="102">
        <v>1</v>
      </c>
      <c r="B94" s="80"/>
      <c r="C94" s="80" t="s">
        <v>100</v>
      </c>
      <c r="D94" s="37" t="s">
        <v>51</v>
      </c>
      <c r="E94" s="80" t="s">
        <v>115</v>
      </c>
      <c r="F94" s="80" t="s">
        <v>116</v>
      </c>
      <c r="G94" s="80" t="s">
        <v>89</v>
      </c>
      <c r="H94" s="74" t="s">
        <v>25</v>
      </c>
      <c r="I94" s="82">
        <v>93971</v>
      </c>
      <c r="J94" s="75">
        <f>I94/72</f>
        <v>1305.1500000000001</v>
      </c>
      <c r="K94" s="76">
        <v>2.2000000000000002</v>
      </c>
      <c r="L94" s="77">
        <f>J94*K94</f>
        <v>2871</v>
      </c>
      <c r="M94" s="102"/>
      <c r="N94" s="102"/>
      <c r="O94" s="102"/>
      <c r="P94" s="102"/>
      <c r="Q94" s="77">
        <f>17697*25%/72*P94</f>
        <v>0</v>
      </c>
      <c r="R94" s="77"/>
      <c r="S94" s="77"/>
      <c r="T94" s="77"/>
      <c r="U94" s="77">
        <f>L94*10%</f>
        <v>287</v>
      </c>
      <c r="V94" s="77">
        <f>M94+N94+Q94+R94+T94+U94+S94+L94</f>
        <v>3158</v>
      </c>
    </row>
    <row r="95" spans="1:22" s="2" customFormat="1" ht="38.25">
      <c r="A95" s="79">
        <v>2</v>
      </c>
      <c r="B95" s="80"/>
      <c r="C95" s="80" t="s">
        <v>424</v>
      </c>
      <c r="D95" s="37" t="s">
        <v>51</v>
      </c>
      <c r="E95" s="37" t="s">
        <v>26</v>
      </c>
      <c r="F95" s="80" t="s">
        <v>119</v>
      </c>
      <c r="G95" s="80" t="s">
        <v>123</v>
      </c>
      <c r="H95" s="82" t="s">
        <v>25</v>
      </c>
      <c r="I95" s="82">
        <v>89016</v>
      </c>
      <c r="J95" s="75">
        <f t="shared" ref="J95:J98" si="15">I95/72</f>
        <v>1236.33</v>
      </c>
      <c r="K95" s="76">
        <v>6</v>
      </c>
      <c r="L95" s="77">
        <f t="shared" ref="L95:L99" si="16">J95*K95</f>
        <v>7418</v>
      </c>
      <c r="M95" s="102"/>
      <c r="N95" s="102"/>
      <c r="O95" s="102"/>
      <c r="P95" s="102"/>
      <c r="Q95" s="77">
        <f t="shared" ref="Q95" si="17">17697*25%/72*P95</f>
        <v>0</v>
      </c>
      <c r="R95" s="102"/>
      <c r="S95" s="102"/>
      <c r="T95" s="77"/>
      <c r="U95" s="77">
        <f t="shared" ref="U95:U99" si="18">L95*10%</f>
        <v>742</v>
      </c>
      <c r="V95" s="77">
        <f t="shared" ref="V95:V99" si="19">M95+N95+Q95+R95+T95+U95+S95+L95</f>
        <v>8160</v>
      </c>
    </row>
    <row r="96" spans="1:22" s="2" customFormat="1" ht="66" customHeight="1">
      <c r="A96" s="102">
        <v>3</v>
      </c>
      <c r="B96" s="86"/>
      <c r="C96" s="87" t="s">
        <v>529</v>
      </c>
      <c r="D96" s="37" t="s">
        <v>51</v>
      </c>
      <c r="E96" s="86" t="s">
        <v>26</v>
      </c>
      <c r="F96" s="86" t="s">
        <v>48</v>
      </c>
      <c r="G96" s="86" t="s">
        <v>145</v>
      </c>
      <c r="H96" s="88" t="s">
        <v>25</v>
      </c>
      <c r="I96" s="88">
        <v>85653</v>
      </c>
      <c r="J96" s="75">
        <f t="shared" si="15"/>
        <v>1189.6300000000001</v>
      </c>
      <c r="K96" s="76">
        <f>4+5+6</f>
        <v>15</v>
      </c>
      <c r="L96" s="77">
        <f t="shared" si="16"/>
        <v>17844</v>
      </c>
      <c r="M96" s="102">
        <v>4424</v>
      </c>
      <c r="N96" s="102"/>
      <c r="O96" s="102"/>
      <c r="P96" s="102"/>
      <c r="Q96" s="77">
        <f>17697*25%/72*P96</f>
        <v>0</v>
      </c>
      <c r="R96" s="102"/>
      <c r="S96" s="102"/>
      <c r="T96" s="77"/>
      <c r="U96" s="77">
        <f t="shared" si="18"/>
        <v>1784</v>
      </c>
      <c r="V96" s="77">
        <f t="shared" si="19"/>
        <v>24052</v>
      </c>
    </row>
    <row r="97" spans="1:22" s="2" customFormat="1" ht="51">
      <c r="A97" s="79">
        <v>4</v>
      </c>
      <c r="B97" s="37"/>
      <c r="C97" s="37" t="s">
        <v>425</v>
      </c>
      <c r="D97" s="37" t="s">
        <v>51</v>
      </c>
      <c r="E97" s="80" t="s">
        <v>26</v>
      </c>
      <c r="F97" s="37" t="s">
        <v>40</v>
      </c>
      <c r="G97" s="80" t="s">
        <v>144</v>
      </c>
      <c r="H97" s="82" t="s">
        <v>42</v>
      </c>
      <c r="I97" s="74">
        <v>93971</v>
      </c>
      <c r="J97" s="75">
        <f t="shared" si="15"/>
        <v>1305.1500000000001</v>
      </c>
      <c r="K97" s="76">
        <f>11+5.4</f>
        <v>16.399999999999999</v>
      </c>
      <c r="L97" s="77">
        <f t="shared" si="16"/>
        <v>21404</v>
      </c>
      <c r="M97" s="102"/>
      <c r="N97" s="102"/>
      <c r="O97" s="102"/>
      <c r="P97" s="102"/>
      <c r="Q97" s="77">
        <f>17697*20%/72*P97</f>
        <v>0</v>
      </c>
      <c r="R97" s="102"/>
      <c r="S97" s="102"/>
      <c r="T97" s="77"/>
      <c r="U97" s="77">
        <f t="shared" si="18"/>
        <v>2140</v>
      </c>
      <c r="V97" s="77">
        <f t="shared" si="19"/>
        <v>23544</v>
      </c>
    </row>
    <row r="98" spans="1:22" s="2" customFormat="1" ht="25.5">
      <c r="A98" s="102">
        <v>5</v>
      </c>
      <c r="B98" s="37"/>
      <c r="C98" s="81" t="s">
        <v>426</v>
      </c>
      <c r="D98" s="37" t="s">
        <v>51</v>
      </c>
      <c r="E98" s="36"/>
      <c r="F98" s="80"/>
      <c r="G98" s="36" t="s">
        <v>50</v>
      </c>
      <c r="H98" s="82" t="s">
        <v>25</v>
      </c>
      <c r="I98" s="82">
        <v>85653</v>
      </c>
      <c r="J98" s="75">
        <f t="shared" si="15"/>
        <v>1189.6300000000001</v>
      </c>
      <c r="K98" s="76">
        <v>3.6</v>
      </c>
      <c r="L98" s="77">
        <f t="shared" si="16"/>
        <v>4283</v>
      </c>
      <c r="M98" s="102"/>
      <c r="N98" s="102"/>
      <c r="O98" s="102"/>
      <c r="P98" s="102"/>
      <c r="Q98" s="77">
        <f t="shared" ref="Q98:Q99" si="20">17697*20%/72*P98</f>
        <v>0</v>
      </c>
      <c r="R98" s="102"/>
      <c r="S98" s="102"/>
      <c r="T98" s="77"/>
      <c r="U98" s="77">
        <f t="shared" si="18"/>
        <v>428</v>
      </c>
      <c r="V98" s="77">
        <f t="shared" si="19"/>
        <v>4711</v>
      </c>
    </row>
    <row r="99" spans="1:22" s="2" customFormat="1" ht="51">
      <c r="A99" s="79">
        <v>6</v>
      </c>
      <c r="B99" s="37"/>
      <c r="C99" s="93" t="s">
        <v>427</v>
      </c>
      <c r="D99" s="102" t="s">
        <v>51</v>
      </c>
      <c r="E99" s="94"/>
      <c r="F99" s="94"/>
      <c r="G99" s="36" t="s">
        <v>50</v>
      </c>
      <c r="H99" s="82" t="s">
        <v>42</v>
      </c>
      <c r="I99" s="36">
        <v>85653</v>
      </c>
      <c r="J99" s="75">
        <f>I99/72</f>
        <v>1189.6300000000001</v>
      </c>
      <c r="K99" s="102">
        <f>0.6+4+21.6+10+7.2+12.2</f>
        <v>55.6</v>
      </c>
      <c r="L99" s="107">
        <f t="shared" si="16"/>
        <v>66143</v>
      </c>
      <c r="M99" s="102"/>
      <c r="N99" s="102"/>
      <c r="O99" s="102"/>
      <c r="P99" s="102"/>
      <c r="Q99" s="77">
        <f t="shared" si="20"/>
        <v>0</v>
      </c>
      <c r="R99" s="102"/>
      <c r="S99" s="102"/>
      <c r="T99" s="77"/>
      <c r="U99" s="77">
        <f t="shared" si="18"/>
        <v>6614</v>
      </c>
      <c r="V99" s="77">
        <f t="shared" si="19"/>
        <v>72757</v>
      </c>
    </row>
    <row r="100" spans="1:22" s="2" customFormat="1">
      <c r="A100" s="104"/>
      <c r="B100" s="104" t="s">
        <v>8</v>
      </c>
      <c r="C100" s="102"/>
      <c r="D100" s="102"/>
      <c r="E100" s="102"/>
      <c r="F100" s="102"/>
      <c r="G100" s="104"/>
      <c r="H100" s="102"/>
      <c r="I100" s="102"/>
      <c r="J100" s="75"/>
      <c r="K100" s="75">
        <f>SUM(K94:K99)</f>
        <v>98.8</v>
      </c>
      <c r="L100" s="75">
        <f t="shared" ref="L100:V100" si="21">SUM(L94:L99)</f>
        <v>119963</v>
      </c>
      <c r="M100" s="75">
        <f t="shared" si="21"/>
        <v>4424</v>
      </c>
      <c r="N100" s="75">
        <f t="shared" si="21"/>
        <v>0</v>
      </c>
      <c r="O100" s="75">
        <f t="shared" si="21"/>
        <v>0</v>
      </c>
      <c r="P100" s="75">
        <f t="shared" si="21"/>
        <v>0</v>
      </c>
      <c r="Q100" s="75">
        <f t="shared" si="21"/>
        <v>0</v>
      </c>
      <c r="R100" s="75">
        <f t="shared" si="21"/>
        <v>0</v>
      </c>
      <c r="S100" s="75">
        <f t="shared" si="21"/>
        <v>0</v>
      </c>
      <c r="T100" s="75">
        <f t="shared" si="21"/>
        <v>0</v>
      </c>
      <c r="U100" s="75">
        <f t="shared" si="21"/>
        <v>11995</v>
      </c>
      <c r="V100" s="75">
        <f t="shared" si="21"/>
        <v>136382</v>
      </c>
    </row>
    <row r="101" spans="1:22" s="2" customFormat="1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6" t="s">
        <v>213</v>
      </c>
      <c r="P101" s="96"/>
      <c r="Q101" s="96"/>
      <c r="R101" s="96"/>
      <c r="S101" s="97"/>
      <c r="T101" s="97"/>
      <c r="U101" s="98"/>
      <c r="V101" s="98"/>
    </row>
    <row r="102" spans="1:22" s="2" customFormat="1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</row>
    <row r="103" spans="1:22" s="2" customFormat="1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</row>
    <row r="104" spans="1:22" s="2" customFormat="1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</row>
    <row r="105" spans="1:22" s="2" customFormat="1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</row>
    <row r="106" spans="1:22" s="2" customFormat="1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</row>
    <row r="107" spans="1:22" s="2" customFormat="1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</row>
    <row r="108" spans="1:22" s="2" customFormat="1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</row>
    <row r="109" spans="1:22" s="2" customFormat="1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</row>
    <row r="110" spans="1:22" s="2" customFormat="1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</row>
    <row r="111" spans="1:22" s="2" customFormat="1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</row>
    <row r="112" spans="1:22" s="2" customFormat="1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</row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</sheetData>
  <mergeCells count="75">
    <mergeCell ref="U91:U93"/>
    <mergeCell ref="V91:V93"/>
    <mergeCell ref="M92:M93"/>
    <mergeCell ref="N92:N93"/>
    <mergeCell ref="O92:Q92"/>
    <mergeCell ref="R92:R93"/>
    <mergeCell ref="S92:S93"/>
    <mergeCell ref="T92:T93"/>
    <mergeCell ref="L91:L93"/>
    <mergeCell ref="E78:L78"/>
    <mergeCell ref="E79:M79"/>
    <mergeCell ref="E80:M80"/>
    <mergeCell ref="E81:M81"/>
    <mergeCell ref="F91:F93"/>
    <mergeCell ref="G91:G93"/>
    <mergeCell ref="H91:H93"/>
    <mergeCell ref="I91:I93"/>
    <mergeCell ref="J91:J93"/>
    <mergeCell ref="K91:K93"/>
    <mergeCell ref="M91:T91"/>
    <mergeCell ref="A91:A93"/>
    <mergeCell ref="B91:B93"/>
    <mergeCell ref="C91:C93"/>
    <mergeCell ref="D91:D93"/>
    <mergeCell ref="E91:E93"/>
    <mergeCell ref="U59:U61"/>
    <mergeCell ref="V59:V61"/>
    <mergeCell ref="M60:M61"/>
    <mergeCell ref="N60:N61"/>
    <mergeCell ref="O60:Q60"/>
    <mergeCell ref="R60:R61"/>
    <mergeCell ref="S60:S61"/>
    <mergeCell ref="T60:T61"/>
    <mergeCell ref="L59:L61"/>
    <mergeCell ref="E46:L46"/>
    <mergeCell ref="E47:M47"/>
    <mergeCell ref="E48:M48"/>
    <mergeCell ref="E49:M49"/>
    <mergeCell ref="F59:F61"/>
    <mergeCell ref="G59:G61"/>
    <mergeCell ref="H59:H61"/>
    <mergeCell ref="I59:I61"/>
    <mergeCell ref="J59:J61"/>
    <mergeCell ref="K59:K61"/>
    <mergeCell ref="M59:T59"/>
    <mergeCell ref="A59:A61"/>
    <mergeCell ref="B59:B61"/>
    <mergeCell ref="C59:C61"/>
    <mergeCell ref="D59:D61"/>
    <mergeCell ref="E59:E61"/>
    <mergeCell ref="U17:U19"/>
    <mergeCell ref="V17:V19"/>
    <mergeCell ref="M18:M19"/>
    <mergeCell ref="N18:N19"/>
    <mergeCell ref="O18:Q18"/>
    <mergeCell ref="R18:R19"/>
    <mergeCell ref="S18:S19"/>
    <mergeCell ref="T18:T19"/>
    <mergeCell ref="L17:L19"/>
    <mergeCell ref="E4:L4"/>
    <mergeCell ref="E5:M5"/>
    <mergeCell ref="E6:M6"/>
    <mergeCell ref="E7:M7"/>
    <mergeCell ref="F17:F19"/>
    <mergeCell ref="G17:G19"/>
    <mergeCell ref="H17:H19"/>
    <mergeCell ref="I17:I19"/>
    <mergeCell ref="J17:J19"/>
    <mergeCell ref="K17:K19"/>
    <mergeCell ref="M17:T17"/>
    <mergeCell ref="A17:A19"/>
    <mergeCell ref="B17:B19"/>
    <mergeCell ref="C17:C19"/>
    <mergeCell ref="D17:D19"/>
    <mergeCell ref="E17:E19"/>
  </mergeCells>
  <pageMargins left="0" right="0" top="0" bottom="0" header="0" footer="0"/>
  <pageSetup paperSize="9" scale="58" orientation="landscape" r:id="rId1"/>
  <headerFooter alignWithMargins="0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V80"/>
  <sheetViews>
    <sheetView view="pageBreakPreview" topLeftCell="A64" zoomScale="90" zoomScaleNormal="100" zoomScaleSheetLayoutView="90" workbookViewId="0">
      <selection activeCell="B33" sqref="B33:B36"/>
    </sheetView>
  </sheetViews>
  <sheetFormatPr defaultRowHeight="12.75"/>
  <cols>
    <col min="1" max="1" width="3.140625" style="3" customWidth="1"/>
    <col min="2" max="2" width="20" style="3" customWidth="1"/>
    <col min="3" max="3" width="36.7109375" style="3" customWidth="1"/>
    <col min="4" max="4" width="9.42578125" style="3" customWidth="1"/>
    <col min="5" max="5" width="29.28515625" style="3" customWidth="1"/>
    <col min="6" max="6" width="13.5703125" style="3" customWidth="1"/>
    <col min="7" max="7" width="8.42578125" style="3" customWidth="1"/>
    <col min="8" max="8" width="6.5703125" style="3" customWidth="1"/>
    <col min="9" max="9" width="8.28515625" style="3" customWidth="1"/>
    <col min="10" max="10" width="10" style="3" customWidth="1"/>
    <col min="11" max="11" width="7.5703125" style="3" customWidth="1"/>
    <col min="12" max="12" width="12.85546875" style="3" customWidth="1"/>
    <col min="13" max="13" width="9.140625" style="3"/>
    <col min="14" max="14" width="8.7109375" style="3" customWidth="1"/>
    <col min="15" max="15" width="7.28515625" style="3" customWidth="1"/>
    <col min="16" max="16" width="7" style="3" customWidth="1"/>
    <col min="17" max="17" width="8.5703125" style="3" customWidth="1"/>
    <col min="18" max="18" width="8.28515625" style="3" customWidth="1"/>
    <col min="19" max="19" width="6.85546875" style="3" customWidth="1"/>
    <col min="20" max="20" width="7" style="3" customWidth="1"/>
    <col min="21" max="21" width="9.7109375" style="3" customWidth="1"/>
    <col min="22" max="22" width="10.7109375" style="3" customWidth="1"/>
    <col min="23" max="16384" width="9.140625" style="3"/>
  </cols>
  <sheetData>
    <row r="1" spans="1:22" s="42" customFormat="1">
      <c r="A1" s="99" t="s">
        <v>0</v>
      </c>
      <c r="B1" s="99"/>
      <c r="C1" s="99"/>
      <c r="D1" s="99"/>
      <c r="E1" s="100"/>
      <c r="F1" s="100"/>
      <c r="G1" s="100"/>
      <c r="H1" s="100"/>
      <c r="I1" s="100"/>
      <c r="J1" s="100"/>
      <c r="K1" s="100"/>
      <c r="L1" s="100"/>
      <c r="M1" s="100"/>
      <c r="N1" s="69" t="s">
        <v>1</v>
      </c>
      <c r="O1" s="69"/>
      <c r="P1" s="69"/>
      <c r="Q1" s="69"/>
      <c r="R1" s="69"/>
      <c r="S1" s="69"/>
      <c r="T1" s="69"/>
      <c r="U1" s="70"/>
      <c r="V1" s="70"/>
    </row>
    <row r="2" spans="1:22" s="42" customFormat="1">
      <c r="A2" s="99" t="s">
        <v>2</v>
      </c>
      <c r="B2" s="99"/>
      <c r="C2" s="99"/>
      <c r="D2" s="99"/>
      <c r="E2" s="100"/>
      <c r="F2" s="100"/>
      <c r="G2" s="100"/>
      <c r="H2" s="100"/>
      <c r="I2" s="100"/>
      <c r="J2" s="100"/>
      <c r="K2" s="100"/>
      <c r="L2" s="100"/>
      <c r="M2" s="100"/>
      <c r="N2" s="69" t="s">
        <v>3</v>
      </c>
      <c r="O2" s="69"/>
      <c r="P2" s="69"/>
      <c r="Q2" s="69"/>
      <c r="R2" s="69"/>
      <c r="S2" s="69"/>
      <c r="T2" s="69"/>
      <c r="U2" s="70"/>
      <c r="V2" s="70"/>
    </row>
    <row r="3" spans="1:22" s="42" customFormat="1">
      <c r="A3" s="99"/>
      <c r="B3" s="99"/>
      <c r="C3" s="99"/>
      <c r="D3" s="99"/>
      <c r="E3" s="100"/>
      <c r="F3" s="100"/>
      <c r="G3" s="100"/>
      <c r="H3" s="100"/>
      <c r="I3" s="100"/>
      <c r="J3" s="100"/>
      <c r="K3" s="100"/>
      <c r="L3" s="100"/>
      <c r="M3" s="100"/>
      <c r="N3" s="68" t="s">
        <v>4</v>
      </c>
      <c r="O3" s="68"/>
      <c r="P3" s="68"/>
      <c r="Q3" s="68"/>
      <c r="R3" s="68"/>
      <c r="S3" s="68"/>
      <c r="T3" s="68"/>
      <c r="U3" s="70"/>
      <c r="V3" s="70"/>
    </row>
    <row r="4" spans="1:22" s="42" customFormat="1">
      <c r="A4" s="99" t="s">
        <v>5</v>
      </c>
      <c r="B4" s="99"/>
      <c r="C4" s="99" t="s">
        <v>6</v>
      </c>
      <c r="D4" s="99"/>
      <c r="E4" s="462" t="s">
        <v>183</v>
      </c>
      <c r="F4" s="462"/>
      <c r="G4" s="462"/>
      <c r="H4" s="462"/>
      <c r="I4" s="462"/>
      <c r="J4" s="462"/>
      <c r="K4" s="462"/>
      <c r="L4" s="462"/>
      <c r="M4" s="70"/>
      <c r="N4" s="69" t="s">
        <v>139</v>
      </c>
      <c r="O4" s="69"/>
      <c r="P4" s="69"/>
      <c r="Q4" s="69"/>
      <c r="R4" s="69"/>
      <c r="S4" s="69"/>
      <c r="T4" s="69"/>
      <c r="U4" s="70"/>
      <c r="V4" s="70"/>
    </row>
    <row r="5" spans="1:22" s="44" customFormat="1">
      <c r="A5" s="99"/>
      <c r="B5" s="99"/>
      <c r="C5" s="99"/>
      <c r="D5" s="99"/>
      <c r="E5" s="463" t="s">
        <v>184</v>
      </c>
      <c r="F5" s="463"/>
      <c r="G5" s="463"/>
      <c r="H5" s="463"/>
      <c r="I5" s="463"/>
      <c r="J5" s="463"/>
      <c r="K5" s="463"/>
      <c r="L5" s="463"/>
      <c r="M5" s="463"/>
      <c r="N5" s="100"/>
      <c r="O5" s="100"/>
      <c r="P5" s="100"/>
      <c r="Q5" s="100"/>
      <c r="R5" s="100"/>
      <c r="S5" s="100"/>
      <c r="T5" s="100"/>
      <c r="U5" s="100"/>
      <c r="V5" s="70"/>
    </row>
    <row r="6" spans="1:22" s="44" customFormat="1">
      <c r="A6" s="100"/>
      <c r="B6" s="100"/>
      <c r="C6" s="100"/>
      <c r="D6" s="100"/>
      <c r="E6" s="464" t="s">
        <v>219</v>
      </c>
      <c r="F6" s="464"/>
      <c r="G6" s="464"/>
      <c r="H6" s="464"/>
      <c r="I6" s="464"/>
      <c r="J6" s="464"/>
      <c r="K6" s="464"/>
      <c r="L6" s="464"/>
      <c r="M6" s="464"/>
      <c r="N6" s="100"/>
      <c r="O6" s="100"/>
      <c r="P6" s="100"/>
      <c r="Q6" s="100"/>
      <c r="R6" s="100"/>
      <c r="S6" s="100"/>
      <c r="T6" s="100"/>
      <c r="U6" s="100"/>
      <c r="V6" s="70"/>
    </row>
    <row r="7" spans="1:22" s="44" customFormat="1">
      <c r="A7" s="100"/>
      <c r="B7" s="100"/>
      <c r="C7" s="100"/>
      <c r="D7" s="100"/>
      <c r="E7" s="464" t="s">
        <v>7</v>
      </c>
      <c r="F7" s="464"/>
      <c r="G7" s="464"/>
      <c r="H7" s="464"/>
      <c r="I7" s="464"/>
      <c r="J7" s="464"/>
      <c r="K7" s="464"/>
      <c r="L7" s="464"/>
      <c r="M7" s="464"/>
      <c r="N7" s="100"/>
      <c r="O7" s="100"/>
      <c r="P7" s="100"/>
      <c r="Q7" s="100"/>
      <c r="R7" s="100"/>
      <c r="S7" s="100"/>
      <c r="T7" s="100"/>
      <c r="U7" s="100"/>
      <c r="V7" s="70"/>
    </row>
    <row r="8" spans="1:22" s="44" customForma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 t="s">
        <v>185</v>
      </c>
      <c r="R8" s="100"/>
      <c r="S8" s="100"/>
      <c r="T8" s="100"/>
      <c r="U8" s="100"/>
      <c r="V8" s="70"/>
    </row>
    <row r="9" spans="1:22" s="44" customForma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 t="s">
        <v>265</v>
      </c>
      <c r="R9" s="100"/>
      <c r="S9" s="100"/>
      <c r="T9" s="100"/>
      <c r="U9" s="100"/>
      <c r="V9" s="70"/>
    </row>
    <row r="10" spans="1:22" s="41" customFormat="1" ht="14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 t="s">
        <v>186</v>
      </c>
      <c r="R10" s="70"/>
      <c r="S10" s="70"/>
      <c r="T10" s="70" t="s">
        <v>456</v>
      </c>
      <c r="U10" s="70"/>
      <c r="V10" s="70"/>
    </row>
    <row r="11" spans="1:22" s="41" customFormat="1" ht="14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 t="s">
        <v>188</v>
      </c>
      <c r="R11" s="70"/>
      <c r="S11" s="70"/>
      <c r="T11" s="70">
        <v>2</v>
      </c>
      <c r="U11" s="70"/>
      <c r="V11" s="70"/>
    </row>
    <row r="12" spans="1:22" s="41" customFormat="1" ht="14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 t="s">
        <v>189</v>
      </c>
      <c r="R12" s="70"/>
      <c r="S12" s="70"/>
      <c r="T12" s="70">
        <v>25</v>
      </c>
      <c r="U12" s="70" t="s">
        <v>190</v>
      </c>
      <c r="V12" s="70"/>
    </row>
    <row r="13" spans="1:22" s="41" customFormat="1" ht="14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 t="s">
        <v>191</v>
      </c>
      <c r="R13" s="70"/>
      <c r="S13" s="70"/>
      <c r="T13" s="70">
        <v>25</v>
      </c>
      <c r="U13" s="70">
        <f>T13*100/T12</f>
        <v>100</v>
      </c>
      <c r="V13" s="70" t="s">
        <v>17</v>
      </c>
    </row>
    <row r="14" spans="1:22" s="41" customFormat="1" ht="14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 t="s">
        <v>192</v>
      </c>
      <c r="R14" s="70"/>
      <c r="S14" s="70"/>
      <c r="T14" s="70">
        <v>0</v>
      </c>
      <c r="U14" s="70">
        <f>T14*100/T12</f>
        <v>0</v>
      </c>
      <c r="V14" s="70" t="s">
        <v>17</v>
      </c>
    </row>
    <row r="15" spans="1:22" s="41" customFormat="1" ht="14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 t="s">
        <v>193</v>
      </c>
      <c r="R15" s="70"/>
      <c r="S15" s="70"/>
      <c r="T15" s="324">
        <f>K37</f>
        <v>186.2</v>
      </c>
      <c r="U15" s="70"/>
      <c r="V15" s="70"/>
    </row>
    <row r="16" spans="1:22" s="41" customFormat="1" ht="14.25">
      <c r="A16" s="70"/>
      <c r="B16" s="70" t="s">
        <v>428</v>
      </c>
      <c r="C16" s="70" t="s">
        <v>429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</row>
    <row r="17" spans="1:22" s="47" customFormat="1">
      <c r="A17" s="459" t="s">
        <v>195</v>
      </c>
      <c r="B17" s="459" t="s">
        <v>196</v>
      </c>
      <c r="C17" s="459" t="s">
        <v>197</v>
      </c>
      <c r="D17" s="459" t="s">
        <v>198</v>
      </c>
      <c r="E17" s="459" t="s">
        <v>10</v>
      </c>
      <c r="F17" s="459" t="s">
        <v>199</v>
      </c>
      <c r="G17" s="459" t="s">
        <v>200</v>
      </c>
      <c r="H17" s="459" t="s">
        <v>201</v>
      </c>
      <c r="I17" s="459" t="s">
        <v>247</v>
      </c>
      <c r="J17" s="459" t="s">
        <v>11</v>
      </c>
      <c r="K17" s="459" t="s">
        <v>203</v>
      </c>
      <c r="L17" s="459" t="s">
        <v>12</v>
      </c>
      <c r="M17" s="458" t="s">
        <v>204</v>
      </c>
      <c r="N17" s="458"/>
      <c r="O17" s="458"/>
      <c r="P17" s="458"/>
      <c r="Q17" s="458"/>
      <c r="R17" s="458"/>
      <c r="S17" s="458"/>
      <c r="T17" s="458"/>
      <c r="U17" s="459" t="s">
        <v>320</v>
      </c>
      <c r="V17" s="459" t="s">
        <v>206</v>
      </c>
    </row>
    <row r="18" spans="1:22" s="47" customFormat="1">
      <c r="A18" s="460"/>
      <c r="B18" s="460"/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459" t="s">
        <v>207</v>
      </c>
      <c r="N18" s="459" t="s">
        <v>15</v>
      </c>
      <c r="O18" s="458" t="s">
        <v>16</v>
      </c>
      <c r="P18" s="458"/>
      <c r="Q18" s="458"/>
      <c r="R18" s="459"/>
      <c r="S18" s="459"/>
      <c r="T18" s="459"/>
      <c r="U18" s="460"/>
      <c r="V18" s="460"/>
    </row>
    <row r="19" spans="1:22" s="47" customFormat="1" ht="78" customHeight="1">
      <c r="A19" s="461"/>
      <c r="B19" s="461"/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71" t="s">
        <v>17</v>
      </c>
      <c r="P19" s="71" t="s">
        <v>18</v>
      </c>
      <c r="Q19" s="71" t="s">
        <v>19</v>
      </c>
      <c r="R19" s="461"/>
      <c r="S19" s="461"/>
      <c r="T19" s="461"/>
      <c r="U19" s="461"/>
      <c r="V19" s="461"/>
    </row>
    <row r="20" spans="1:22" s="55" customFormat="1" ht="90.75" customHeight="1">
      <c r="A20" s="104">
        <v>1</v>
      </c>
      <c r="B20" s="80"/>
      <c r="C20" s="81" t="s">
        <v>530</v>
      </c>
      <c r="D20" s="37" t="s">
        <v>51</v>
      </c>
      <c r="E20" s="83" t="s">
        <v>61</v>
      </c>
      <c r="F20" s="80" t="s">
        <v>62</v>
      </c>
      <c r="G20" s="82" t="s">
        <v>156</v>
      </c>
      <c r="H20" s="74" t="s">
        <v>25</v>
      </c>
      <c r="I20" s="82">
        <v>89016</v>
      </c>
      <c r="J20" s="75">
        <f t="shared" ref="J20:J21" si="0">I20/72</f>
        <v>1236.33</v>
      </c>
      <c r="K20" s="342">
        <v>3</v>
      </c>
      <c r="L20" s="77">
        <f t="shared" ref="L20:L21" si="1">J20*K20</f>
        <v>3709</v>
      </c>
      <c r="M20" s="104">
        <v>4424</v>
      </c>
      <c r="N20" s="104"/>
      <c r="O20" s="102">
        <v>25</v>
      </c>
      <c r="P20" s="102">
        <v>1.2</v>
      </c>
      <c r="Q20" s="77">
        <f t="shared" ref="Q20:Q21" si="2">17697*25%/72*P20</f>
        <v>74</v>
      </c>
      <c r="R20" s="104"/>
      <c r="S20" s="104"/>
      <c r="T20" s="104"/>
      <c r="U20" s="77">
        <f t="shared" ref="U20:U36" si="3">L20*10%</f>
        <v>371</v>
      </c>
      <c r="V20" s="77">
        <f t="shared" ref="V20:V36" si="4">M20+N20+Q20+R20+T20+U20+S20+L20</f>
        <v>8578</v>
      </c>
    </row>
    <row r="21" spans="1:22" s="55" customFormat="1" ht="54.75" customHeight="1">
      <c r="A21" s="104">
        <v>2</v>
      </c>
      <c r="B21" s="37"/>
      <c r="C21" s="81" t="s">
        <v>45</v>
      </c>
      <c r="D21" s="37" t="s">
        <v>51</v>
      </c>
      <c r="E21" s="37" t="s">
        <v>46</v>
      </c>
      <c r="F21" s="80" t="s">
        <v>47</v>
      </c>
      <c r="G21" s="80" t="s">
        <v>178</v>
      </c>
      <c r="H21" s="82" t="s">
        <v>25</v>
      </c>
      <c r="I21" s="82">
        <v>93971</v>
      </c>
      <c r="J21" s="75">
        <f t="shared" si="0"/>
        <v>1305.1500000000001</v>
      </c>
      <c r="K21" s="342">
        <v>5</v>
      </c>
      <c r="L21" s="77">
        <f t="shared" si="1"/>
        <v>6526</v>
      </c>
      <c r="M21" s="104"/>
      <c r="N21" s="104"/>
      <c r="O21" s="102"/>
      <c r="P21" s="102"/>
      <c r="Q21" s="77">
        <f t="shared" si="2"/>
        <v>0</v>
      </c>
      <c r="R21" s="104"/>
      <c r="S21" s="104"/>
      <c r="T21" s="104"/>
      <c r="U21" s="77">
        <f t="shared" si="3"/>
        <v>653</v>
      </c>
      <c r="V21" s="77">
        <f t="shared" si="4"/>
        <v>7179</v>
      </c>
    </row>
    <row r="22" spans="1:22" s="55" customFormat="1" ht="63.75">
      <c r="A22" s="104">
        <v>3</v>
      </c>
      <c r="B22" s="80"/>
      <c r="C22" s="102" t="s">
        <v>439</v>
      </c>
      <c r="D22" s="37" t="s">
        <v>51</v>
      </c>
      <c r="E22" s="80" t="s">
        <v>56</v>
      </c>
      <c r="F22" s="80" t="s">
        <v>57</v>
      </c>
      <c r="G22" s="80" t="s">
        <v>24</v>
      </c>
      <c r="H22" s="82" t="s">
        <v>25</v>
      </c>
      <c r="I22" s="74">
        <v>90609</v>
      </c>
      <c r="J22" s="75">
        <f>I22/72</f>
        <v>1258.46</v>
      </c>
      <c r="K22" s="76">
        <v>8</v>
      </c>
      <c r="L22" s="77">
        <f>J22*K22</f>
        <v>10068</v>
      </c>
      <c r="M22" s="102"/>
      <c r="N22" s="102"/>
      <c r="O22" s="102">
        <v>25</v>
      </c>
      <c r="P22" s="102">
        <v>4.8</v>
      </c>
      <c r="Q22" s="77">
        <f>17697*25%/72*P22</f>
        <v>295</v>
      </c>
      <c r="R22" s="77"/>
      <c r="S22" s="77"/>
      <c r="T22" s="77"/>
      <c r="U22" s="77">
        <f t="shared" si="3"/>
        <v>1007</v>
      </c>
      <c r="V22" s="77">
        <f t="shared" si="4"/>
        <v>11370</v>
      </c>
    </row>
    <row r="23" spans="1:22" s="53" customFormat="1" ht="54.75" customHeight="1">
      <c r="A23" s="104">
        <v>4</v>
      </c>
      <c r="B23" s="80"/>
      <c r="C23" s="102" t="s">
        <v>439</v>
      </c>
      <c r="D23" s="37" t="s">
        <v>51</v>
      </c>
      <c r="E23" s="80" t="s">
        <v>94</v>
      </c>
      <c r="F23" s="80" t="s">
        <v>95</v>
      </c>
      <c r="G23" s="82" t="s">
        <v>164</v>
      </c>
      <c r="H23" s="82" t="s">
        <v>25</v>
      </c>
      <c r="I23" s="82">
        <v>93971</v>
      </c>
      <c r="J23" s="75">
        <f t="shared" ref="J23:J33" si="5">I23/72</f>
        <v>1305.1500000000001</v>
      </c>
      <c r="K23" s="76">
        <v>8</v>
      </c>
      <c r="L23" s="77">
        <f t="shared" ref="L23:L36" si="6">J23*K23</f>
        <v>10441</v>
      </c>
      <c r="M23" s="102"/>
      <c r="N23" s="102"/>
      <c r="O23" s="102">
        <v>25</v>
      </c>
      <c r="P23" s="102">
        <v>4.8</v>
      </c>
      <c r="Q23" s="77">
        <f t="shared" ref="Q23" si="7">17697*25%/72*P23</f>
        <v>295</v>
      </c>
      <c r="R23" s="102"/>
      <c r="S23" s="102"/>
      <c r="T23" s="77"/>
      <c r="U23" s="77">
        <f t="shared" si="3"/>
        <v>1044</v>
      </c>
      <c r="V23" s="77">
        <f t="shared" si="4"/>
        <v>11780</v>
      </c>
    </row>
    <row r="24" spans="1:22" s="53" customFormat="1" ht="54" customHeight="1">
      <c r="A24" s="104">
        <v>5</v>
      </c>
      <c r="B24" s="80"/>
      <c r="C24" s="37" t="s">
        <v>440</v>
      </c>
      <c r="D24" s="102" t="s">
        <v>51</v>
      </c>
      <c r="E24" s="83" t="s">
        <v>75</v>
      </c>
      <c r="F24" s="80" t="s">
        <v>76</v>
      </c>
      <c r="G24" s="80" t="s">
        <v>152</v>
      </c>
      <c r="H24" s="74" t="s">
        <v>25</v>
      </c>
      <c r="I24" s="82">
        <v>90609</v>
      </c>
      <c r="J24" s="75">
        <f t="shared" si="5"/>
        <v>1258.46</v>
      </c>
      <c r="K24" s="102">
        <v>16</v>
      </c>
      <c r="L24" s="77">
        <f t="shared" si="6"/>
        <v>20135</v>
      </c>
      <c r="M24" s="102"/>
      <c r="N24" s="102"/>
      <c r="O24" s="102">
        <v>20</v>
      </c>
      <c r="P24" s="102">
        <v>16</v>
      </c>
      <c r="Q24" s="77">
        <f>17697*20%/72*P24</f>
        <v>787</v>
      </c>
      <c r="R24" s="102"/>
      <c r="S24" s="102"/>
      <c r="T24" s="77"/>
      <c r="U24" s="77">
        <f t="shared" si="3"/>
        <v>2014</v>
      </c>
      <c r="V24" s="77">
        <f t="shared" si="4"/>
        <v>22936</v>
      </c>
    </row>
    <row r="25" spans="1:22" s="53" customFormat="1" ht="41.25" customHeight="1">
      <c r="A25" s="104">
        <v>6</v>
      </c>
      <c r="B25" s="37"/>
      <c r="C25" s="81" t="s">
        <v>296</v>
      </c>
      <c r="D25" s="37" t="s">
        <v>51</v>
      </c>
      <c r="E25" s="37" t="s">
        <v>237</v>
      </c>
      <c r="F25" s="37" t="s">
        <v>238</v>
      </c>
      <c r="G25" s="36" t="s">
        <v>32</v>
      </c>
      <c r="H25" s="74" t="s">
        <v>42</v>
      </c>
      <c r="I25" s="36">
        <v>82468</v>
      </c>
      <c r="J25" s="75">
        <f t="shared" si="5"/>
        <v>1145.3900000000001</v>
      </c>
      <c r="K25" s="76">
        <v>8</v>
      </c>
      <c r="L25" s="77">
        <f t="shared" si="6"/>
        <v>9163</v>
      </c>
      <c r="M25" s="102"/>
      <c r="N25" s="102"/>
      <c r="O25" s="102"/>
      <c r="P25" s="102"/>
      <c r="Q25" s="77">
        <f t="shared" ref="Q25:Q36" si="8">17697*20%/72*P25</f>
        <v>0</v>
      </c>
      <c r="R25" s="102"/>
      <c r="S25" s="102"/>
      <c r="T25" s="77"/>
      <c r="U25" s="77">
        <f t="shared" si="3"/>
        <v>916</v>
      </c>
      <c r="V25" s="77">
        <f t="shared" si="4"/>
        <v>10079</v>
      </c>
    </row>
    <row r="26" spans="1:22" s="53" customFormat="1" ht="82.5" customHeight="1">
      <c r="A26" s="104">
        <v>7</v>
      </c>
      <c r="B26" s="80"/>
      <c r="C26" s="81" t="s">
        <v>430</v>
      </c>
      <c r="D26" s="37" t="s">
        <v>51</v>
      </c>
      <c r="E26" s="80" t="s">
        <v>230</v>
      </c>
      <c r="F26" s="37" t="s">
        <v>231</v>
      </c>
      <c r="G26" s="90" t="s">
        <v>170</v>
      </c>
      <c r="H26" s="82" t="s">
        <v>25</v>
      </c>
      <c r="I26" s="82">
        <v>93971</v>
      </c>
      <c r="J26" s="75">
        <f t="shared" si="5"/>
        <v>1305.1500000000001</v>
      </c>
      <c r="K26" s="76">
        <f>9+8.4</f>
        <v>17.399999999999999</v>
      </c>
      <c r="L26" s="77">
        <f t="shared" si="6"/>
        <v>22710</v>
      </c>
      <c r="M26" s="102"/>
      <c r="N26" s="102"/>
      <c r="O26" s="102"/>
      <c r="P26" s="102"/>
      <c r="Q26" s="77">
        <f t="shared" si="8"/>
        <v>0</v>
      </c>
      <c r="R26" s="102"/>
      <c r="S26" s="102"/>
      <c r="T26" s="77"/>
      <c r="U26" s="77">
        <f t="shared" si="3"/>
        <v>2271</v>
      </c>
      <c r="V26" s="77">
        <f t="shared" si="4"/>
        <v>24981</v>
      </c>
    </row>
    <row r="27" spans="1:22" s="53" customFormat="1" ht="93.75" customHeight="1">
      <c r="A27" s="104">
        <v>8</v>
      </c>
      <c r="B27" s="37"/>
      <c r="C27" s="81" t="s">
        <v>434</v>
      </c>
      <c r="D27" s="37" t="s">
        <v>51</v>
      </c>
      <c r="E27" s="37" t="s">
        <v>26</v>
      </c>
      <c r="F27" s="37" t="s">
        <v>104</v>
      </c>
      <c r="G27" s="73" t="s">
        <v>67</v>
      </c>
      <c r="H27" s="74" t="s">
        <v>25</v>
      </c>
      <c r="I27" s="74">
        <v>89016</v>
      </c>
      <c r="J27" s="75">
        <f t="shared" si="5"/>
        <v>1236.33</v>
      </c>
      <c r="K27" s="76">
        <f>6+3</f>
        <v>9</v>
      </c>
      <c r="L27" s="77">
        <f t="shared" si="6"/>
        <v>11127</v>
      </c>
      <c r="M27" s="102"/>
      <c r="N27" s="102"/>
      <c r="O27" s="102"/>
      <c r="P27" s="76"/>
      <c r="Q27" s="77">
        <f t="shared" si="8"/>
        <v>0</v>
      </c>
      <c r="R27" s="102"/>
      <c r="S27" s="102"/>
      <c r="T27" s="77"/>
      <c r="U27" s="77">
        <f t="shared" si="3"/>
        <v>1113</v>
      </c>
      <c r="V27" s="77">
        <f t="shared" si="4"/>
        <v>12240</v>
      </c>
    </row>
    <row r="28" spans="1:22" s="53" customFormat="1" ht="91.5" customHeight="1">
      <c r="A28" s="104">
        <v>9</v>
      </c>
      <c r="B28" s="80"/>
      <c r="C28" s="80" t="s">
        <v>431</v>
      </c>
      <c r="D28" s="37" t="s">
        <v>51</v>
      </c>
      <c r="E28" s="37" t="s">
        <v>128</v>
      </c>
      <c r="F28" s="80" t="s">
        <v>129</v>
      </c>
      <c r="G28" s="80" t="s">
        <v>154</v>
      </c>
      <c r="H28" s="82" t="s">
        <v>25</v>
      </c>
      <c r="I28" s="82">
        <v>87246</v>
      </c>
      <c r="J28" s="75">
        <f t="shared" si="5"/>
        <v>1211.75</v>
      </c>
      <c r="K28" s="102">
        <f>4+4.6</f>
        <v>8.6</v>
      </c>
      <c r="L28" s="77">
        <f t="shared" si="6"/>
        <v>10421</v>
      </c>
      <c r="M28" s="102"/>
      <c r="N28" s="102">
        <v>4424</v>
      </c>
      <c r="O28" s="102"/>
      <c r="P28" s="102"/>
      <c r="Q28" s="77">
        <f t="shared" si="8"/>
        <v>0</v>
      </c>
      <c r="R28" s="102"/>
      <c r="S28" s="102"/>
      <c r="T28" s="77"/>
      <c r="U28" s="77">
        <f t="shared" si="3"/>
        <v>1042</v>
      </c>
      <c r="V28" s="77">
        <f t="shared" si="4"/>
        <v>15887</v>
      </c>
    </row>
    <row r="29" spans="1:22" s="53" customFormat="1" ht="51" customHeight="1">
      <c r="A29" s="104">
        <v>10</v>
      </c>
      <c r="B29" s="80"/>
      <c r="C29" s="81" t="s">
        <v>432</v>
      </c>
      <c r="D29" s="37" t="s">
        <v>51</v>
      </c>
      <c r="E29" s="37" t="s">
        <v>38</v>
      </c>
      <c r="F29" s="80" t="s">
        <v>82</v>
      </c>
      <c r="G29" s="80" t="s">
        <v>159</v>
      </c>
      <c r="H29" s="82" t="s">
        <v>25</v>
      </c>
      <c r="I29" s="82">
        <v>93971</v>
      </c>
      <c r="J29" s="75">
        <f t="shared" si="5"/>
        <v>1305.1500000000001</v>
      </c>
      <c r="K29" s="76">
        <v>4</v>
      </c>
      <c r="L29" s="77">
        <f t="shared" si="6"/>
        <v>5221</v>
      </c>
      <c r="M29" s="102"/>
      <c r="N29" s="102"/>
      <c r="O29" s="102"/>
      <c r="P29" s="102"/>
      <c r="Q29" s="77">
        <f t="shared" si="8"/>
        <v>0</v>
      </c>
      <c r="R29" s="102"/>
      <c r="S29" s="102"/>
      <c r="T29" s="77"/>
      <c r="U29" s="77">
        <f t="shared" si="3"/>
        <v>522</v>
      </c>
      <c r="V29" s="77">
        <f t="shared" si="4"/>
        <v>5743</v>
      </c>
    </row>
    <row r="30" spans="1:22" s="53" customFormat="1" ht="143.25" customHeight="1">
      <c r="A30" s="104">
        <v>11</v>
      </c>
      <c r="B30" s="37"/>
      <c r="C30" s="37" t="s">
        <v>433</v>
      </c>
      <c r="D30" s="37" t="s">
        <v>51</v>
      </c>
      <c r="E30" s="80" t="s">
        <v>43</v>
      </c>
      <c r="F30" s="37" t="s">
        <v>44</v>
      </c>
      <c r="G30" s="80" t="s">
        <v>154</v>
      </c>
      <c r="H30" s="82" t="s">
        <v>42</v>
      </c>
      <c r="I30" s="74">
        <v>87246</v>
      </c>
      <c r="J30" s="75">
        <f t="shared" si="5"/>
        <v>1211.75</v>
      </c>
      <c r="K30" s="102">
        <f>4+5+5.4+16.2+9.4</f>
        <v>40</v>
      </c>
      <c r="L30" s="77">
        <f t="shared" si="6"/>
        <v>48470</v>
      </c>
      <c r="M30" s="102"/>
      <c r="N30" s="102"/>
      <c r="O30" s="102"/>
      <c r="P30" s="102"/>
      <c r="Q30" s="77">
        <f t="shared" si="8"/>
        <v>0</v>
      </c>
      <c r="R30" s="102"/>
      <c r="S30" s="102"/>
      <c r="T30" s="77"/>
      <c r="U30" s="77">
        <f t="shared" si="3"/>
        <v>4847</v>
      </c>
      <c r="V30" s="77">
        <f t="shared" si="4"/>
        <v>53317</v>
      </c>
    </row>
    <row r="31" spans="1:22" s="53" customFormat="1" ht="43.5" customHeight="1">
      <c r="A31" s="104">
        <v>12</v>
      </c>
      <c r="B31" s="37"/>
      <c r="C31" s="37" t="s">
        <v>355</v>
      </c>
      <c r="D31" s="102" t="s">
        <v>51</v>
      </c>
      <c r="E31" s="37" t="s">
        <v>31</v>
      </c>
      <c r="F31" s="37" t="s">
        <v>242</v>
      </c>
      <c r="G31" s="80" t="s">
        <v>145</v>
      </c>
      <c r="H31" s="82" t="s">
        <v>25</v>
      </c>
      <c r="I31" s="82">
        <v>85653</v>
      </c>
      <c r="J31" s="106">
        <f t="shared" si="5"/>
        <v>1189.6300000000001</v>
      </c>
      <c r="K31" s="102">
        <v>3.4</v>
      </c>
      <c r="L31" s="77">
        <f t="shared" si="6"/>
        <v>4045</v>
      </c>
      <c r="M31" s="102"/>
      <c r="N31" s="102"/>
      <c r="O31" s="102"/>
      <c r="P31" s="102"/>
      <c r="Q31" s="77">
        <f t="shared" si="8"/>
        <v>0</v>
      </c>
      <c r="R31" s="102"/>
      <c r="S31" s="102"/>
      <c r="T31" s="77"/>
      <c r="U31" s="77">
        <f t="shared" si="3"/>
        <v>405</v>
      </c>
      <c r="V31" s="77">
        <f t="shared" si="4"/>
        <v>4450</v>
      </c>
    </row>
    <row r="32" spans="1:22" s="53" customFormat="1" ht="42.75" customHeight="1">
      <c r="A32" s="104">
        <v>13</v>
      </c>
      <c r="B32" s="37"/>
      <c r="C32" s="81" t="s">
        <v>347</v>
      </c>
      <c r="D32" s="102" t="s">
        <v>51</v>
      </c>
      <c r="E32" s="72" t="s">
        <v>232</v>
      </c>
      <c r="F32" s="37" t="s">
        <v>233</v>
      </c>
      <c r="G32" s="36" t="s">
        <v>180</v>
      </c>
      <c r="H32" s="74" t="s">
        <v>42</v>
      </c>
      <c r="I32" s="36">
        <v>90609</v>
      </c>
      <c r="J32" s="75">
        <f t="shared" si="5"/>
        <v>1258.46</v>
      </c>
      <c r="K32" s="76">
        <f>3.6</f>
        <v>3.6</v>
      </c>
      <c r="L32" s="77">
        <f t="shared" si="6"/>
        <v>4530</v>
      </c>
      <c r="M32" s="102"/>
      <c r="N32" s="102"/>
      <c r="O32" s="102"/>
      <c r="P32" s="102"/>
      <c r="Q32" s="77">
        <f t="shared" si="8"/>
        <v>0</v>
      </c>
      <c r="R32" s="102"/>
      <c r="S32" s="102"/>
      <c r="T32" s="77"/>
      <c r="U32" s="77">
        <f t="shared" si="3"/>
        <v>453</v>
      </c>
      <c r="V32" s="77">
        <f t="shared" si="4"/>
        <v>4983</v>
      </c>
    </row>
    <row r="33" spans="1:22" s="53" customFormat="1" ht="38.25">
      <c r="A33" s="104">
        <v>14</v>
      </c>
      <c r="B33" s="37"/>
      <c r="C33" s="37" t="s">
        <v>296</v>
      </c>
      <c r="D33" s="102" t="s">
        <v>51</v>
      </c>
      <c r="E33" s="37"/>
      <c r="F33" s="92"/>
      <c r="G33" s="36" t="s">
        <v>50</v>
      </c>
      <c r="H33" s="82" t="s">
        <v>42</v>
      </c>
      <c r="I33" s="36">
        <v>85653</v>
      </c>
      <c r="J33" s="106">
        <f t="shared" si="5"/>
        <v>1189.6300000000001</v>
      </c>
      <c r="K33" s="76">
        <v>8</v>
      </c>
      <c r="L33" s="107">
        <f t="shared" si="6"/>
        <v>9517</v>
      </c>
      <c r="M33" s="102"/>
      <c r="N33" s="102"/>
      <c r="O33" s="102"/>
      <c r="P33" s="102"/>
      <c r="Q33" s="77"/>
      <c r="R33" s="102"/>
      <c r="S33" s="102"/>
      <c r="T33" s="77"/>
      <c r="U33" s="77">
        <f t="shared" si="3"/>
        <v>952</v>
      </c>
      <c r="V33" s="77">
        <f t="shared" si="4"/>
        <v>10469</v>
      </c>
    </row>
    <row r="34" spans="1:22" s="53" customFormat="1" ht="25.5">
      <c r="A34" s="104">
        <v>15</v>
      </c>
      <c r="B34" s="37"/>
      <c r="C34" s="37" t="s">
        <v>435</v>
      </c>
      <c r="D34" s="102" t="s">
        <v>51</v>
      </c>
      <c r="E34" s="108"/>
      <c r="F34" s="92"/>
      <c r="G34" s="36" t="s">
        <v>50</v>
      </c>
      <c r="H34" s="82" t="s">
        <v>42</v>
      </c>
      <c r="I34" s="36">
        <v>85653</v>
      </c>
      <c r="J34" s="75">
        <f>I34/72</f>
        <v>1189.6300000000001</v>
      </c>
      <c r="K34" s="76">
        <v>1.8</v>
      </c>
      <c r="L34" s="107">
        <f t="shared" si="6"/>
        <v>2141</v>
      </c>
      <c r="M34" s="102"/>
      <c r="N34" s="102"/>
      <c r="O34" s="102"/>
      <c r="P34" s="102"/>
      <c r="Q34" s="77">
        <f>17697*20%/72*P34</f>
        <v>0</v>
      </c>
      <c r="R34" s="102"/>
      <c r="S34" s="102"/>
      <c r="T34" s="77"/>
      <c r="U34" s="77">
        <f t="shared" si="3"/>
        <v>214</v>
      </c>
      <c r="V34" s="77">
        <f t="shared" si="4"/>
        <v>2355</v>
      </c>
    </row>
    <row r="35" spans="1:22" s="53" customFormat="1" ht="64.5" customHeight="1">
      <c r="A35" s="104">
        <v>16</v>
      </c>
      <c r="B35" s="37"/>
      <c r="C35" s="94" t="s">
        <v>436</v>
      </c>
      <c r="D35" s="102" t="s">
        <v>51</v>
      </c>
      <c r="E35" s="343"/>
      <c r="F35" s="92"/>
      <c r="G35" s="36" t="s">
        <v>50</v>
      </c>
      <c r="H35" s="82" t="s">
        <v>42</v>
      </c>
      <c r="I35" s="36">
        <v>85653</v>
      </c>
      <c r="J35" s="75">
        <f>I35/72</f>
        <v>1189.6300000000001</v>
      </c>
      <c r="K35" s="76">
        <v>3.6</v>
      </c>
      <c r="L35" s="107">
        <f t="shared" si="6"/>
        <v>4283</v>
      </c>
      <c r="M35" s="102"/>
      <c r="N35" s="102"/>
      <c r="O35" s="102"/>
      <c r="P35" s="102"/>
      <c r="Q35" s="77">
        <f>17697*20%/72*P35</f>
        <v>0</v>
      </c>
      <c r="R35" s="102"/>
      <c r="S35" s="102"/>
      <c r="T35" s="77"/>
      <c r="U35" s="77">
        <f t="shared" si="3"/>
        <v>428</v>
      </c>
      <c r="V35" s="77">
        <f t="shared" si="4"/>
        <v>4711</v>
      </c>
    </row>
    <row r="36" spans="1:22" s="53" customFormat="1" ht="38.25">
      <c r="A36" s="104">
        <v>17</v>
      </c>
      <c r="B36" s="37"/>
      <c r="C36" s="93" t="s">
        <v>437</v>
      </c>
      <c r="D36" s="102" t="s">
        <v>51</v>
      </c>
      <c r="E36" s="94"/>
      <c r="F36" s="94"/>
      <c r="G36" s="36" t="s">
        <v>50</v>
      </c>
      <c r="H36" s="82" t="s">
        <v>42</v>
      </c>
      <c r="I36" s="36">
        <v>85653</v>
      </c>
      <c r="J36" s="75">
        <f>I36/72</f>
        <v>1189.6300000000001</v>
      </c>
      <c r="K36" s="102">
        <f>3.6+1.8+10+23.4</f>
        <v>38.799999999999997</v>
      </c>
      <c r="L36" s="107">
        <f t="shared" si="6"/>
        <v>46158</v>
      </c>
      <c r="M36" s="102"/>
      <c r="N36" s="102"/>
      <c r="O36" s="102"/>
      <c r="P36" s="102"/>
      <c r="Q36" s="77">
        <f t="shared" si="8"/>
        <v>0</v>
      </c>
      <c r="R36" s="102"/>
      <c r="S36" s="102"/>
      <c r="T36" s="77"/>
      <c r="U36" s="77">
        <f t="shared" si="3"/>
        <v>4616</v>
      </c>
      <c r="V36" s="77">
        <f t="shared" si="4"/>
        <v>50774</v>
      </c>
    </row>
    <row r="37" spans="1:22" s="53" customFormat="1">
      <c r="A37" s="104"/>
      <c r="B37" s="104" t="s">
        <v>8</v>
      </c>
      <c r="C37" s="102"/>
      <c r="D37" s="102"/>
      <c r="E37" s="102"/>
      <c r="F37" s="102"/>
      <c r="G37" s="104"/>
      <c r="H37" s="102"/>
      <c r="I37" s="102"/>
      <c r="J37" s="75"/>
      <c r="K37" s="75">
        <f t="shared" ref="K37:U37" si="9">SUM(K20:K36)</f>
        <v>186.2</v>
      </c>
      <c r="L37" s="75">
        <f t="shared" si="9"/>
        <v>228665</v>
      </c>
      <c r="M37" s="75">
        <f t="shared" si="9"/>
        <v>4424</v>
      </c>
      <c r="N37" s="75">
        <f t="shared" si="9"/>
        <v>4424</v>
      </c>
      <c r="O37" s="75">
        <f t="shared" si="9"/>
        <v>95</v>
      </c>
      <c r="P37" s="75">
        <f t="shared" si="9"/>
        <v>26.8</v>
      </c>
      <c r="Q37" s="75">
        <f t="shared" si="9"/>
        <v>1451</v>
      </c>
      <c r="R37" s="75">
        <f t="shared" si="9"/>
        <v>0</v>
      </c>
      <c r="S37" s="75">
        <f t="shared" si="9"/>
        <v>0</v>
      </c>
      <c r="T37" s="75">
        <f t="shared" si="9"/>
        <v>0</v>
      </c>
      <c r="U37" s="75">
        <f t="shared" si="9"/>
        <v>22868</v>
      </c>
      <c r="V37" s="75">
        <f>SUM(V20:V36)</f>
        <v>261832</v>
      </c>
    </row>
    <row r="38" spans="1:22" s="53" customFormat="1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 t="s">
        <v>213</v>
      </c>
      <c r="P38" s="96"/>
      <c r="Q38" s="96"/>
      <c r="R38" s="96"/>
      <c r="S38" s="97"/>
      <c r="T38" s="97"/>
      <c r="U38" s="98"/>
      <c r="V38" s="98"/>
    </row>
    <row r="39" spans="1:22" s="53" customFormat="1">
      <c r="A39" s="344"/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</row>
    <row r="40" spans="1:22" s="53" customFormat="1">
      <c r="A40" s="35" t="s">
        <v>0</v>
      </c>
      <c r="B40" s="35"/>
      <c r="C40" s="35"/>
      <c r="D40" s="35"/>
      <c r="E40" s="10"/>
      <c r="F40" s="10"/>
      <c r="G40" s="10"/>
      <c r="H40" s="10"/>
      <c r="I40" s="10"/>
      <c r="J40" s="10"/>
      <c r="K40" s="10"/>
      <c r="L40" s="10"/>
      <c r="M40" s="10"/>
      <c r="N40" s="11" t="s">
        <v>1</v>
      </c>
      <c r="O40" s="11"/>
      <c r="P40" s="11"/>
      <c r="Q40" s="11"/>
      <c r="R40" s="11"/>
      <c r="S40" s="11"/>
      <c r="T40" s="11"/>
      <c r="U40" s="9"/>
      <c r="V40" s="9"/>
    </row>
    <row r="41" spans="1:22" s="53" customFormat="1">
      <c r="A41" s="35" t="s">
        <v>2</v>
      </c>
      <c r="B41" s="35"/>
      <c r="C41" s="35"/>
      <c r="D41" s="35"/>
      <c r="E41" s="10"/>
      <c r="F41" s="10"/>
      <c r="G41" s="10"/>
      <c r="H41" s="10"/>
      <c r="I41" s="10"/>
      <c r="J41" s="10"/>
      <c r="K41" s="10"/>
      <c r="L41" s="10"/>
      <c r="M41" s="10"/>
      <c r="N41" s="11" t="s">
        <v>3</v>
      </c>
      <c r="O41" s="11"/>
      <c r="P41" s="11"/>
      <c r="Q41" s="11"/>
      <c r="R41" s="11"/>
      <c r="S41" s="11"/>
      <c r="T41" s="11"/>
      <c r="U41" s="9"/>
      <c r="V41" s="9"/>
    </row>
    <row r="42" spans="1:22" s="53" customFormat="1">
      <c r="A42" s="35"/>
      <c r="B42" s="35"/>
      <c r="C42" s="35"/>
      <c r="D42" s="35"/>
      <c r="E42" s="10"/>
      <c r="F42" s="10"/>
      <c r="G42" s="10"/>
      <c r="H42" s="10"/>
      <c r="I42" s="10"/>
      <c r="J42" s="10"/>
      <c r="K42" s="10"/>
      <c r="L42" s="10"/>
      <c r="M42" s="10"/>
      <c r="N42" s="12" t="s">
        <v>4</v>
      </c>
      <c r="O42" s="12"/>
      <c r="P42" s="12"/>
      <c r="Q42" s="12"/>
      <c r="R42" s="12"/>
      <c r="S42" s="12"/>
      <c r="T42" s="12"/>
      <c r="U42" s="9"/>
      <c r="V42" s="9"/>
    </row>
    <row r="43" spans="1:22" s="53" customFormat="1">
      <c r="A43" s="35" t="s">
        <v>5</v>
      </c>
      <c r="B43" s="35"/>
      <c r="C43" s="35" t="s">
        <v>6</v>
      </c>
      <c r="D43" s="35"/>
      <c r="E43" s="469" t="s">
        <v>183</v>
      </c>
      <c r="F43" s="469"/>
      <c r="G43" s="469"/>
      <c r="H43" s="469"/>
      <c r="I43" s="469"/>
      <c r="J43" s="469"/>
      <c r="K43" s="469"/>
      <c r="L43" s="469"/>
      <c r="M43" s="9"/>
      <c r="N43" s="11" t="s">
        <v>139</v>
      </c>
      <c r="O43" s="11"/>
      <c r="P43" s="11"/>
      <c r="Q43" s="11"/>
      <c r="R43" s="11"/>
      <c r="S43" s="11"/>
      <c r="T43" s="11"/>
      <c r="U43" s="9"/>
      <c r="V43" s="9"/>
    </row>
    <row r="44" spans="1:22" s="53" customFormat="1">
      <c r="A44" s="35"/>
      <c r="B44" s="35"/>
      <c r="C44" s="35"/>
      <c r="D44" s="35"/>
      <c r="E44" s="470" t="s">
        <v>184</v>
      </c>
      <c r="F44" s="470"/>
      <c r="G44" s="470"/>
      <c r="H44" s="470"/>
      <c r="I44" s="470"/>
      <c r="J44" s="470"/>
      <c r="K44" s="470"/>
      <c r="L44" s="470"/>
      <c r="M44" s="470"/>
      <c r="N44" s="10"/>
      <c r="O44" s="10"/>
      <c r="P44" s="10"/>
      <c r="Q44" s="10"/>
      <c r="R44" s="10"/>
      <c r="S44" s="10"/>
      <c r="T44" s="10"/>
      <c r="U44" s="10"/>
      <c r="V44" s="9"/>
    </row>
    <row r="45" spans="1:22" s="53" customFormat="1">
      <c r="A45" s="10"/>
      <c r="B45" s="10"/>
      <c r="C45" s="10"/>
      <c r="D45" s="10"/>
      <c r="E45" s="471" t="s">
        <v>219</v>
      </c>
      <c r="F45" s="471"/>
      <c r="G45" s="471"/>
      <c r="H45" s="471"/>
      <c r="I45" s="471"/>
      <c r="J45" s="471"/>
      <c r="K45" s="471"/>
      <c r="L45" s="471"/>
      <c r="M45" s="471"/>
      <c r="N45" s="10"/>
      <c r="O45" s="10"/>
      <c r="P45" s="10"/>
      <c r="Q45" s="10"/>
      <c r="R45" s="10"/>
      <c r="S45" s="10"/>
      <c r="T45" s="10"/>
      <c r="U45" s="10"/>
      <c r="V45" s="9"/>
    </row>
    <row r="46" spans="1:22" s="53" customFormat="1">
      <c r="A46" s="10"/>
      <c r="B46" s="10"/>
      <c r="C46" s="10"/>
      <c r="D46" s="10"/>
      <c r="E46" s="471" t="s">
        <v>7</v>
      </c>
      <c r="F46" s="471"/>
      <c r="G46" s="471"/>
      <c r="H46" s="471"/>
      <c r="I46" s="471"/>
      <c r="J46" s="471"/>
      <c r="K46" s="471"/>
      <c r="L46" s="471"/>
      <c r="M46" s="471"/>
      <c r="N46" s="10"/>
      <c r="O46" s="10"/>
      <c r="P46" s="10"/>
      <c r="Q46" s="10"/>
      <c r="R46" s="10"/>
      <c r="S46" s="10"/>
      <c r="T46" s="10"/>
      <c r="U46" s="10"/>
      <c r="V46" s="9"/>
    </row>
    <row r="47" spans="1:22" s="53" customForma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 t="s">
        <v>185</v>
      </c>
      <c r="R47" s="10"/>
      <c r="S47" s="10"/>
      <c r="T47" s="10"/>
      <c r="U47" s="10"/>
      <c r="V47" s="9"/>
    </row>
    <row r="48" spans="1:22" s="53" customForma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 t="s">
        <v>265</v>
      </c>
      <c r="R48" s="10"/>
      <c r="S48" s="10"/>
      <c r="T48" s="10"/>
      <c r="U48" s="10"/>
      <c r="V48" s="9"/>
    </row>
    <row r="49" spans="1:22" s="53" customForma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5"/>
      <c r="O49" s="9"/>
      <c r="P49" s="9"/>
      <c r="Q49" s="9" t="s">
        <v>186</v>
      </c>
      <c r="R49" s="9"/>
      <c r="S49" s="9"/>
      <c r="T49" s="9" t="s">
        <v>456</v>
      </c>
      <c r="U49" s="9"/>
      <c r="V49" s="9"/>
    </row>
    <row r="50" spans="1:22" s="53" customForma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5"/>
      <c r="O50" s="9"/>
      <c r="P50" s="9"/>
      <c r="Q50" s="9" t="s">
        <v>188</v>
      </c>
      <c r="R50" s="9"/>
      <c r="S50" s="9"/>
      <c r="T50" s="9">
        <v>3</v>
      </c>
      <c r="U50" s="9"/>
      <c r="V50" s="9"/>
    </row>
    <row r="51" spans="1:22" s="53" customForma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5"/>
      <c r="O51" s="9"/>
      <c r="P51" s="9"/>
      <c r="Q51" s="9" t="s">
        <v>189</v>
      </c>
      <c r="R51" s="9"/>
      <c r="S51" s="9"/>
      <c r="T51" s="9">
        <v>23</v>
      </c>
      <c r="U51" s="9" t="s">
        <v>190</v>
      </c>
      <c r="V51" s="9"/>
    </row>
    <row r="52" spans="1:22" s="53" customForma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5"/>
      <c r="O52" s="9"/>
      <c r="P52" s="9"/>
      <c r="Q52" s="9" t="s">
        <v>191</v>
      </c>
      <c r="R52" s="9"/>
      <c r="S52" s="9"/>
      <c r="T52" s="9">
        <v>23</v>
      </c>
      <c r="U52" s="9">
        <f>T52*100/T51</f>
        <v>100</v>
      </c>
      <c r="V52" s="9" t="s">
        <v>17</v>
      </c>
    </row>
    <row r="53" spans="1:22" s="53" customForma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5"/>
      <c r="O53" s="9"/>
      <c r="P53" s="9"/>
      <c r="Q53" s="9" t="s">
        <v>192</v>
      </c>
      <c r="R53" s="9"/>
      <c r="S53" s="9"/>
      <c r="T53" s="9">
        <v>0</v>
      </c>
      <c r="U53" s="9">
        <f>T53*100/T51</f>
        <v>0</v>
      </c>
      <c r="V53" s="9" t="s">
        <v>17</v>
      </c>
    </row>
    <row r="54" spans="1:22" s="53" customForma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5"/>
      <c r="O54" s="9"/>
      <c r="P54" s="9"/>
      <c r="Q54" s="9" t="s">
        <v>193</v>
      </c>
      <c r="R54" s="9"/>
      <c r="S54" s="9"/>
      <c r="T54" s="345">
        <f>K69</f>
        <v>149.80000000000001</v>
      </c>
      <c r="U54" s="9"/>
      <c r="V54" s="9"/>
    </row>
    <row r="55" spans="1:22" s="53" customFormat="1">
      <c r="A55" s="9"/>
      <c r="B55" s="9" t="s">
        <v>438</v>
      </c>
      <c r="C55" s="9" t="s">
        <v>429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s="53" customFormat="1">
      <c r="A56" s="466" t="s">
        <v>195</v>
      </c>
      <c r="B56" s="466" t="s">
        <v>196</v>
      </c>
      <c r="C56" s="466" t="s">
        <v>197</v>
      </c>
      <c r="D56" s="466" t="s">
        <v>198</v>
      </c>
      <c r="E56" s="466" t="s">
        <v>10</v>
      </c>
      <c r="F56" s="466" t="s">
        <v>199</v>
      </c>
      <c r="G56" s="466" t="s">
        <v>200</v>
      </c>
      <c r="H56" s="466" t="s">
        <v>201</v>
      </c>
      <c r="I56" s="466" t="s">
        <v>247</v>
      </c>
      <c r="J56" s="466" t="s">
        <v>11</v>
      </c>
      <c r="K56" s="466" t="s">
        <v>203</v>
      </c>
      <c r="L56" s="466" t="s">
        <v>12</v>
      </c>
      <c r="M56" s="472" t="s">
        <v>204</v>
      </c>
      <c r="N56" s="472"/>
      <c r="O56" s="472"/>
      <c r="P56" s="472"/>
      <c r="Q56" s="472"/>
      <c r="R56" s="472"/>
      <c r="S56" s="472"/>
      <c r="T56" s="472"/>
      <c r="U56" s="466" t="s">
        <v>320</v>
      </c>
      <c r="V56" s="466" t="s">
        <v>206</v>
      </c>
    </row>
    <row r="57" spans="1:22" s="53" customFormat="1">
      <c r="A57" s="467"/>
      <c r="B57" s="467"/>
      <c r="C57" s="467"/>
      <c r="D57" s="467"/>
      <c r="E57" s="467"/>
      <c r="F57" s="467"/>
      <c r="G57" s="467"/>
      <c r="H57" s="467"/>
      <c r="I57" s="467"/>
      <c r="J57" s="467"/>
      <c r="K57" s="467"/>
      <c r="L57" s="467"/>
      <c r="M57" s="466" t="s">
        <v>207</v>
      </c>
      <c r="N57" s="466" t="s">
        <v>15</v>
      </c>
      <c r="O57" s="472" t="s">
        <v>16</v>
      </c>
      <c r="P57" s="472"/>
      <c r="Q57" s="472"/>
      <c r="R57" s="466"/>
      <c r="S57" s="466"/>
      <c r="T57" s="466"/>
      <c r="U57" s="467"/>
      <c r="V57" s="467"/>
    </row>
    <row r="58" spans="1:22" s="53" customFormat="1" ht="25.5">
      <c r="A58" s="468"/>
      <c r="B58" s="468"/>
      <c r="C58" s="468"/>
      <c r="D58" s="468"/>
      <c r="E58" s="468"/>
      <c r="F58" s="468"/>
      <c r="G58" s="468"/>
      <c r="H58" s="468"/>
      <c r="I58" s="468"/>
      <c r="J58" s="468"/>
      <c r="K58" s="468"/>
      <c r="L58" s="468"/>
      <c r="M58" s="468"/>
      <c r="N58" s="468"/>
      <c r="O58" s="235" t="s">
        <v>17</v>
      </c>
      <c r="P58" s="235" t="s">
        <v>18</v>
      </c>
      <c r="Q58" s="235" t="s">
        <v>19</v>
      </c>
      <c r="R58" s="468"/>
      <c r="S58" s="468"/>
      <c r="T58" s="468"/>
      <c r="U58" s="468"/>
      <c r="V58" s="468"/>
    </row>
    <row r="59" spans="1:22" s="53" customFormat="1" ht="51">
      <c r="A59" s="18">
        <v>1</v>
      </c>
      <c r="B59" s="171"/>
      <c r="C59" s="167" t="s">
        <v>441</v>
      </c>
      <c r="D59" s="166" t="s">
        <v>51</v>
      </c>
      <c r="E59" s="171" t="s">
        <v>56</v>
      </c>
      <c r="F59" s="171" t="s">
        <v>57</v>
      </c>
      <c r="G59" s="171" t="s">
        <v>24</v>
      </c>
      <c r="H59" s="168" t="s">
        <v>25</v>
      </c>
      <c r="I59" s="173">
        <v>90609</v>
      </c>
      <c r="J59" s="236">
        <f t="shared" ref="J59:J60" si="10">I59/72</f>
        <v>1258.46</v>
      </c>
      <c r="K59" s="346">
        <v>4</v>
      </c>
      <c r="L59" s="238">
        <f t="shared" ref="L59:L60" si="11">J59*K59</f>
        <v>5034</v>
      </c>
      <c r="M59" s="18"/>
      <c r="N59" s="18"/>
      <c r="O59" s="167"/>
      <c r="P59" s="167"/>
      <c r="Q59" s="238">
        <f t="shared" ref="Q59:Q60" si="12">17697*25%/72*P59</f>
        <v>0</v>
      </c>
      <c r="R59" s="18"/>
      <c r="S59" s="18"/>
      <c r="T59" s="18"/>
      <c r="U59" s="238">
        <f t="shared" ref="U59:U68" si="13">L59*10%</f>
        <v>503</v>
      </c>
      <c r="V59" s="238">
        <f t="shared" ref="V59:V68" si="14">M59+N59+Q59+R59+T59+U59+S59+L59</f>
        <v>5537</v>
      </c>
    </row>
    <row r="60" spans="1:22" s="53" customFormat="1" ht="25.5">
      <c r="A60" s="18">
        <v>2</v>
      </c>
      <c r="B60" s="170"/>
      <c r="C60" s="172" t="s">
        <v>255</v>
      </c>
      <c r="D60" s="166" t="s">
        <v>51</v>
      </c>
      <c r="E60" s="171" t="s">
        <v>132</v>
      </c>
      <c r="F60" s="171" t="s">
        <v>133</v>
      </c>
      <c r="G60" s="171" t="s">
        <v>175</v>
      </c>
      <c r="H60" s="173" t="s">
        <v>42</v>
      </c>
      <c r="I60" s="168">
        <v>85653</v>
      </c>
      <c r="J60" s="236">
        <f t="shared" si="10"/>
        <v>1189.6300000000001</v>
      </c>
      <c r="K60" s="346">
        <v>5.6</v>
      </c>
      <c r="L60" s="238">
        <f t="shared" si="11"/>
        <v>6662</v>
      </c>
      <c r="M60" s="18"/>
      <c r="N60" s="18"/>
      <c r="O60" s="167"/>
      <c r="P60" s="167"/>
      <c r="Q60" s="238">
        <f t="shared" si="12"/>
        <v>0</v>
      </c>
      <c r="R60" s="18"/>
      <c r="S60" s="18"/>
      <c r="T60" s="18"/>
      <c r="U60" s="238">
        <f t="shared" si="13"/>
        <v>666</v>
      </c>
      <c r="V60" s="238">
        <f t="shared" si="14"/>
        <v>7328</v>
      </c>
    </row>
    <row r="61" spans="1:22" s="53" customFormat="1" ht="76.5">
      <c r="A61" s="18">
        <v>3</v>
      </c>
      <c r="B61" s="170"/>
      <c r="C61" s="172" t="s">
        <v>345</v>
      </c>
      <c r="D61" s="166" t="s">
        <v>51</v>
      </c>
      <c r="E61" s="171" t="s">
        <v>126</v>
      </c>
      <c r="F61" s="166" t="s">
        <v>127</v>
      </c>
      <c r="G61" s="171" t="s">
        <v>41</v>
      </c>
      <c r="H61" s="168" t="s">
        <v>42</v>
      </c>
      <c r="I61" s="173">
        <v>93971</v>
      </c>
      <c r="J61" s="236">
        <f>I61/72</f>
        <v>1305.1500000000001</v>
      </c>
      <c r="K61" s="237">
        <v>3.6</v>
      </c>
      <c r="L61" s="238">
        <f>J61*K61</f>
        <v>4699</v>
      </c>
      <c r="M61" s="167"/>
      <c r="N61" s="167"/>
      <c r="O61" s="167"/>
      <c r="P61" s="167"/>
      <c r="Q61" s="238">
        <f>17697*25%/72*P61</f>
        <v>0</v>
      </c>
      <c r="R61" s="238"/>
      <c r="S61" s="238"/>
      <c r="T61" s="238"/>
      <c r="U61" s="238">
        <f t="shared" si="13"/>
        <v>470</v>
      </c>
      <c r="V61" s="238">
        <f t="shared" si="14"/>
        <v>5169</v>
      </c>
    </row>
    <row r="62" spans="1:22" s="53" customFormat="1" ht="67.5" customHeight="1">
      <c r="A62" s="18">
        <v>4</v>
      </c>
      <c r="B62" s="171"/>
      <c r="C62" s="172" t="s">
        <v>106</v>
      </c>
      <c r="D62" s="166" t="s">
        <v>51</v>
      </c>
      <c r="E62" s="171" t="s">
        <v>107</v>
      </c>
      <c r="F62" s="166" t="s">
        <v>108</v>
      </c>
      <c r="G62" s="240" t="s">
        <v>142</v>
      </c>
      <c r="H62" s="168" t="s">
        <v>25</v>
      </c>
      <c r="I62" s="168">
        <v>90609</v>
      </c>
      <c r="J62" s="236">
        <f t="shared" ref="J62:J65" si="15">I62/72</f>
        <v>1258.46</v>
      </c>
      <c r="K62" s="237">
        <v>3.6</v>
      </c>
      <c r="L62" s="238">
        <f t="shared" ref="L62:L68" si="16">J62*K62</f>
        <v>4530</v>
      </c>
      <c r="M62" s="167"/>
      <c r="N62" s="167"/>
      <c r="O62" s="167"/>
      <c r="P62" s="167"/>
      <c r="Q62" s="238">
        <f t="shared" ref="Q62" si="17">17697*25%/72*P62</f>
        <v>0</v>
      </c>
      <c r="R62" s="167"/>
      <c r="S62" s="167"/>
      <c r="T62" s="238"/>
      <c r="U62" s="238">
        <f t="shared" si="13"/>
        <v>453</v>
      </c>
      <c r="V62" s="238">
        <f t="shared" si="14"/>
        <v>4983</v>
      </c>
    </row>
    <row r="63" spans="1:22" s="53" customFormat="1" ht="51">
      <c r="A63" s="18">
        <v>5</v>
      </c>
      <c r="B63" s="171"/>
      <c r="C63" s="171" t="s">
        <v>442</v>
      </c>
      <c r="D63" s="166" t="s">
        <v>51</v>
      </c>
      <c r="E63" s="166" t="s">
        <v>128</v>
      </c>
      <c r="F63" s="171" t="s">
        <v>129</v>
      </c>
      <c r="G63" s="171" t="s">
        <v>154</v>
      </c>
      <c r="H63" s="168" t="s">
        <v>25</v>
      </c>
      <c r="I63" s="168">
        <v>87246</v>
      </c>
      <c r="J63" s="236">
        <f t="shared" si="15"/>
        <v>1211.75</v>
      </c>
      <c r="K63" s="237">
        <v>3</v>
      </c>
      <c r="L63" s="238">
        <f t="shared" si="16"/>
        <v>3635</v>
      </c>
      <c r="M63" s="167"/>
      <c r="N63" s="167"/>
      <c r="O63" s="167"/>
      <c r="P63" s="167"/>
      <c r="Q63" s="238">
        <f>17697*20%/72*P63</f>
        <v>0</v>
      </c>
      <c r="R63" s="167"/>
      <c r="S63" s="167"/>
      <c r="T63" s="238"/>
      <c r="U63" s="238">
        <f t="shared" si="13"/>
        <v>364</v>
      </c>
      <c r="V63" s="238">
        <f t="shared" si="14"/>
        <v>3999</v>
      </c>
    </row>
    <row r="64" spans="1:22" s="53" customFormat="1" ht="132.75" customHeight="1">
      <c r="A64" s="18">
        <v>6</v>
      </c>
      <c r="B64" s="166"/>
      <c r="C64" s="166" t="s">
        <v>443</v>
      </c>
      <c r="D64" s="166" t="s">
        <v>51</v>
      </c>
      <c r="E64" s="171" t="s">
        <v>43</v>
      </c>
      <c r="F64" s="166" t="s">
        <v>44</v>
      </c>
      <c r="G64" s="171" t="s">
        <v>154</v>
      </c>
      <c r="H64" s="168" t="s">
        <v>42</v>
      </c>
      <c r="I64" s="173">
        <v>87246</v>
      </c>
      <c r="J64" s="236">
        <f t="shared" si="15"/>
        <v>1211.75</v>
      </c>
      <c r="K64" s="237">
        <f>33.6+19.6+6+4+2.8</f>
        <v>66</v>
      </c>
      <c r="L64" s="238">
        <f t="shared" si="16"/>
        <v>79976</v>
      </c>
      <c r="M64" s="167"/>
      <c r="N64" s="167"/>
      <c r="O64" s="167"/>
      <c r="P64" s="167"/>
      <c r="Q64" s="238">
        <f t="shared" ref="Q64:Q65" si="18">17697*20%/72*P64</f>
        <v>0</v>
      </c>
      <c r="R64" s="167"/>
      <c r="S64" s="167"/>
      <c r="T64" s="238"/>
      <c r="U64" s="238">
        <f t="shared" si="13"/>
        <v>7998</v>
      </c>
      <c r="V64" s="238">
        <f t="shared" si="14"/>
        <v>87974</v>
      </c>
    </row>
    <row r="65" spans="1:22" s="53" customFormat="1" ht="54" customHeight="1">
      <c r="A65" s="18">
        <v>7</v>
      </c>
      <c r="B65" s="166"/>
      <c r="C65" s="172" t="s">
        <v>103</v>
      </c>
      <c r="D65" s="166" t="s">
        <v>51</v>
      </c>
      <c r="E65" s="166" t="s">
        <v>26</v>
      </c>
      <c r="F65" s="166" t="s">
        <v>104</v>
      </c>
      <c r="G65" s="194" t="s">
        <v>67</v>
      </c>
      <c r="H65" s="173" t="s">
        <v>25</v>
      </c>
      <c r="I65" s="173">
        <v>89016</v>
      </c>
      <c r="J65" s="236">
        <f t="shared" si="15"/>
        <v>1236.33</v>
      </c>
      <c r="K65" s="237">
        <v>19.600000000000001</v>
      </c>
      <c r="L65" s="238">
        <f t="shared" si="16"/>
        <v>24232</v>
      </c>
      <c r="M65" s="167"/>
      <c r="N65" s="167"/>
      <c r="O65" s="167"/>
      <c r="P65" s="167"/>
      <c r="Q65" s="238">
        <f t="shared" si="18"/>
        <v>0</v>
      </c>
      <c r="R65" s="167"/>
      <c r="S65" s="167"/>
      <c r="T65" s="238"/>
      <c r="U65" s="238">
        <f t="shared" si="13"/>
        <v>2423</v>
      </c>
      <c r="V65" s="238">
        <f t="shared" si="14"/>
        <v>26655</v>
      </c>
    </row>
    <row r="66" spans="1:22" s="53" customFormat="1">
      <c r="A66" s="18">
        <v>8</v>
      </c>
      <c r="B66" s="194"/>
      <c r="C66" s="347" t="s">
        <v>494</v>
      </c>
      <c r="D66" s="166" t="s">
        <v>51</v>
      </c>
      <c r="E66" s="245"/>
      <c r="F66" s="348"/>
      <c r="G66" s="194"/>
      <c r="H66" s="173"/>
      <c r="I66" s="173"/>
      <c r="J66" s="236"/>
      <c r="K66" s="237"/>
      <c r="L66" s="244"/>
      <c r="M66" s="167">
        <v>4424</v>
      </c>
      <c r="N66" s="167"/>
      <c r="O66" s="167"/>
      <c r="P66" s="167"/>
      <c r="Q66" s="238"/>
      <c r="R66" s="167"/>
      <c r="S66" s="167"/>
      <c r="T66" s="238"/>
      <c r="U66" s="238"/>
      <c r="V66" s="238"/>
    </row>
    <row r="67" spans="1:22" s="53" customFormat="1" ht="25.5">
      <c r="A67" s="18">
        <v>9</v>
      </c>
      <c r="B67" s="166"/>
      <c r="C67" s="166" t="s">
        <v>435</v>
      </c>
      <c r="D67" s="167" t="s">
        <v>51</v>
      </c>
      <c r="E67" s="245"/>
      <c r="F67" s="241"/>
      <c r="G67" s="239" t="s">
        <v>50</v>
      </c>
      <c r="H67" s="168" t="s">
        <v>42</v>
      </c>
      <c r="I67" s="239">
        <v>85653</v>
      </c>
      <c r="J67" s="236">
        <f>I67/72</f>
        <v>1189.6300000000001</v>
      </c>
      <c r="K67" s="237">
        <v>5.4</v>
      </c>
      <c r="L67" s="244">
        <f t="shared" si="16"/>
        <v>6424</v>
      </c>
      <c r="M67" s="167"/>
      <c r="N67" s="167"/>
      <c r="O67" s="167"/>
      <c r="P67" s="167"/>
      <c r="Q67" s="238">
        <f>17697*20%/72*P67</f>
        <v>0</v>
      </c>
      <c r="R67" s="167"/>
      <c r="S67" s="167"/>
      <c r="T67" s="238"/>
      <c r="U67" s="238">
        <f t="shared" si="13"/>
        <v>642</v>
      </c>
      <c r="V67" s="238">
        <f t="shared" si="14"/>
        <v>7066</v>
      </c>
    </row>
    <row r="68" spans="1:22" s="53" customFormat="1" ht="38.25">
      <c r="A68" s="18">
        <v>10</v>
      </c>
      <c r="B68" s="166"/>
      <c r="C68" s="242" t="s">
        <v>444</v>
      </c>
      <c r="D68" s="167" t="s">
        <v>51</v>
      </c>
      <c r="E68" s="169"/>
      <c r="F68" s="169"/>
      <c r="G68" s="239" t="s">
        <v>50</v>
      </c>
      <c r="H68" s="168" t="s">
        <v>42</v>
      </c>
      <c r="I68" s="239">
        <v>85653</v>
      </c>
      <c r="J68" s="236">
        <f>I68/72</f>
        <v>1189.6300000000001</v>
      </c>
      <c r="K68" s="167">
        <f>3.6+1.8+10+23.6</f>
        <v>39</v>
      </c>
      <c r="L68" s="244">
        <f t="shared" si="16"/>
        <v>46396</v>
      </c>
      <c r="M68" s="167"/>
      <c r="N68" s="167"/>
      <c r="O68" s="167"/>
      <c r="P68" s="167"/>
      <c r="Q68" s="238">
        <f t="shared" ref="Q68" si="19">17697*20%/72*P68</f>
        <v>0</v>
      </c>
      <c r="R68" s="167"/>
      <c r="S68" s="167"/>
      <c r="T68" s="238"/>
      <c r="U68" s="238">
        <f t="shared" si="13"/>
        <v>4640</v>
      </c>
      <c r="V68" s="238">
        <f t="shared" si="14"/>
        <v>51036</v>
      </c>
    </row>
    <row r="69" spans="1:22" s="53" customFormat="1">
      <c r="A69" s="18"/>
      <c r="B69" s="18" t="s">
        <v>8</v>
      </c>
      <c r="C69" s="167"/>
      <c r="D69" s="167"/>
      <c r="E69" s="167"/>
      <c r="F69" s="167"/>
      <c r="G69" s="18"/>
      <c r="H69" s="167"/>
      <c r="I69" s="167"/>
      <c r="J69" s="236"/>
      <c r="K69" s="236">
        <f>SUM(K59:K68)</f>
        <v>149.80000000000001</v>
      </c>
      <c r="L69" s="236">
        <f t="shared" ref="L69:V69" si="20">SUM(L59:L68)</f>
        <v>181588</v>
      </c>
      <c r="M69" s="236">
        <f t="shared" si="20"/>
        <v>4424</v>
      </c>
      <c r="N69" s="236">
        <f t="shared" si="20"/>
        <v>0</v>
      </c>
      <c r="O69" s="236">
        <f t="shared" si="20"/>
        <v>0</v>
      </c>
      <c r="P69" s="236">
        <f t="shared" si="20"/>
        <v>0</v>
      </c>
      <c r="Q69" s="236">
        <f t="shared" si="20"/>
        <v>0</v>
      </c>
      <c r="R69" s="236">
        <f t="shared" si="20"/>
        <v>0</v>
      </c>
      <c r="S69" s="236">
        <f t="shared" si="20"/>
        <v>0</v>
      </c>
      <c r="T69" s="236">
        <f t="shared" si="20"/>
        <v>0</v>
      </c>
      <c r="U69" s="236">
        <f t="shared" si="20"/>
        <v>18159</v>
      </c>
      <c r="V69" s="236">
        <f t="shared" si="20"/>
        <v>199747</v>
      </c>
    </row>
    <row r="70" spans="1:22" s="53" customForma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7" t="s">
        <v>213</v>
      </c>
      <c r="P70" s="7"/>
      <c r="Q70" s="7"/>
      <c r="R70" s="7"/>
      <c r="S70" s="8"/>
      <c r="T70" s="8"/>
      <c r="U70" s="34"/>
      <c r="V70" s="34"/>
    </row>
    <row r="71" spans="1:22" s="53" customFormat="1">
      <c r="A71" s="349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  <c r="O71" s="349"/>
      <c r="P71" s="349"/>
      <c r="Q71" s="349"/>
      <c r="R71" s="349"/>
      <c r="S71" s="349"/>
      <c r="T71" s="349"/>
      <c r="U71" s="349"/>
      <c r="V71" s="349"/>
    </row>
    <row r="72" spans="1:22" s="53" customFormat="1">
      <c r="A72" s="349"/>
      <c r="B72" s="349"/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  <c r="O72" s="349"/>
      <c r="P72" s="349"/>
      <c r="Q72" s="349"/>
      <c r="R72" s="349"/>
      <c r="S72" s="349"/>
      <c r="T72" s="349"/>
      <c r="U72" s="349"/>
      <c r="V72" s="349"/>
    </row>
    <row r="73" spans="1:22" s="53" customFormat="1">
      <c r="A73" s="349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  <c r="O73" s="349"/>
      <c r="P73" s="349"/>
      <c r="Q73" s="349"/>
      <c r="R73" s="349"/>
      <c r="S73" s="349"/>
      <c r="T73" s="349"/>
      <c r="U73" s="349"/>
      <c r="V73" s="349"/>
    </row>
    <row r="74" spans="1:22" s="53" customFormat="1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</row>
    <row r="75" spans="1:22" s="54" customFormat="1">
      <c r="A75" s="349"/>
      <c r="B75" s="349"/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  <c r="O75" s="349"/>
      <c r="P75" s="349"/>
      <c r="Q75" s="349"/>
      <c r="R75" s="349"/>
      <c r="S75" s="349"/>
      <c r="T75" s="349"/>
      <c r="U75" s="349"/>
      <c r="V75" s="349"/>
    </row>
    <row r="76" spans="1:22" s="54" customFormat="1" ht="12"/>
    <row r="77" spans="1:22" s="54" customFormat="1" ht="12"/>
    <row r="78" spans="1:22" s="54" customFormat="1" ht="12"/>
    <row r="79" spans="1:22" s="54" customFormat="1" ht="12"/>
    <row r="80" spans="1:22" s="54" customFormat="1" ht="12"/>
  </sheetData>
  <mergeCells count="50">
    <mergeCell ref="U56:U58"/>
    <mergeCell ref="V56:V58"/>
    <mergeCell ref="M57:M58"/>
    <mergeCell ref="N57:N58"/>
    <mergeCell ref="O57:Q57"/>
    <mergeCell ref="R57:R58"/>
    <mergeCell ref="S57:S58"/>
    <mergeCell ref="T57:T58"/>
    <mergeCell ref="L56:L58"/>
    <mergeCell ref="E43:L43"/>
    <mergeCell ref="E44:M44"/>
    <mergeCell ref="E45:M45"/>
    <mergeCell ref="E46:M46"/>
    <mergeCell ref="F56:F58"/>
    <mergeCell ref="G56:G58"/>
    <mergeCell ref="H56:H58"/>
    <mergeCell ref="I56:I58"/>
    <mergeCell ref="J56:J58"/>
    <mergeCell ref="K56:K58"/>
    <mergeCell ref="M56:T56"/>
    <mergeCell ref="A56:A58"/>
    <mergeCell ref="B56:B58"/>
    <mergeCell ref="C56:C58"/>
    <mergeCell ref="D56:D58"/>
    <mergeCell ref="E56:E58"/>
    <mergeCell ref="U17:U19"/>
    <mergeCell ref="V17:V19"/>
    <mergeCell ref="M18:M19"/>
    <mergeCell ref="N18:N19"/>
    <mergeCell ref="O18:Q18"/>
    <mergeCell ref="R18:R19"/>
    <mergeCell ref="S18:S19"/>
    <mergeCell ref="T18:T19"/>
    <mergeCell ref="L17:L19"/>
    <mergeCell ref="E4:L4"/>
    <mergeCell ref="E5:M5"/>
    <mergeCell ref="E6:M6"/>
    <mergeCell ref="E7:M7"/>
    <mergeCell ref="F17:F19"/>
    <mergeCell ref="G17:G19"/>
    <mergeCell ref="H17:H19"/>
    <mergeCell ref="I17:I19"/>
    <mergeCell ref="J17:J19"/>
    <mergeCell ref="K17:K19"/>
    <mergeCell ref="M17:T17"/>
    <mergeCell ref="A17:A19"/>
    <mergeCell ref="B17:B19"/>
    <mergeCell ref="C17:C19"/>
    <mergeCell ref="D17:D19"/>
    <mergeCell ref="E17:E19"/>
  </mergeCells>
  <pageMargins left="0" right="0" top="0" bottom="0" header="0" footer="0"/>
  <pageSetup paperSize="9"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V59"/>
  <sheetViews>
    <sheetView view="pageBreakPreview" zoomScale="70" zoomScaleNormal="100" zoomScaleSheetLayoutView="70" workbookViewId="0">
      <selection activeCell="B27" sqref="B27"/>
    </sheetView>
  </sheetViews>
  <sheetFormatPr defaultRowHeight="12.75"/>
  <cols>
    <col min="1" max="1" width="3.140625" style="3" customWidth="1"/>
    <col min="2" max="2" width="20" style="3" customWidth="1"/>
    <col min="3" max="3" width="36.7109375" style="3" customWidth="1"/>
    <col min="4" max="4" width="9.42578125" style="3" customWidth="1"/>
    <col min="5" max="5" width="36.5703125" style="3" customWidth="1"/>
    <col min="6" max="6" width="11.140625" style="3" customWidth="1"/>
    <col min="7" max="7" width="7.85546875" style="3" customWidth="1"/>
    <col min="8" max="8" width="6.5703125" style="3" customWidth="1"/>
    <col min="9" max="9" width="9.85546875" style="3" customWidth="1"/>
    <col min="10" max="10" width="10" style="3" customWidth="1"/>
    <col min="11" max="11" width="6.7109375" style="3" customWidth="1"/>
    <col min="12" max="12" width="9.7109375" style="3" customWidth="1"/>
    <col min="13" max="13" width="9.140625" style="3"/>
    <col min="14" max="14" width="9.42578125" style="3" customWidth="1"/>
    <col min="15" max="15" width="7.28515625" style="3" customWidth="1"/>
    <col min="16" max="16" width="7" style="3" customWidth="1"/>
    <col min="17" max="17" width="8.5703125" style="3" customWidth="1"/>
    <col min="18" max="18" width="8.28515625" style="3" customWidth="1"/>
    <col min="19" max="19" width="6.85546875" style="3" customWidth="1"/>
    <col min="20" max="20" width="7" style="3" customWidth="1"/>
    <col min="21" max="21" width="9.7109375" style="3" customWidth="1"/>
    <col min="22" max="22" width="10.7109375" style="3" customWidth="1"/>
    <col min="23" max="16384" width="9.140625" style="3"/>
  </cols>
  <sheetData>
    <row r="1" spans="1:22" s="42" customFormat="1">
      <c r="A1" s="99" t="s">
        <v>0</v>
      </c>
      <c r="B1" s="99"/>
      <c r="C1" s="99"/>
      <c r="D1" s="99"/>
      <c r="E1" s="100"/>
      <c r="F1" s="100"/>
      <c r="G1" s="100"/>
      <c r="H1" s="100"/>
      <c r="I1" s="100"/>
      <c r="J1" s="100"/>
      <c r="K1" s="100"/>
      <c r="L1" s="100"/>
      <c r="M1" s="100"/>
      <c r="N1" s="69" t="s">
        <v>1</v>
      </c>
      <c r="O1" s="69"/>
      <c r="P1" s="69"/>
      <c r="Q1" s="69"/>
      <c r="R1" s="69"/>
      <c r="S1" s="69"/>
      <c r="T1" s="69"/>
      <c r="U1" s="70"/>
      <c r="V1" s="70"/>
    </row>
    <row r="2" spans="1:22" s="42" customFormat="1">
      <c r="A2" s="99" t="s">
        <v>2</v>
      </c>
      <c r="B2" s="99"/>
      <c r="C2" s="99"/>
      <c r="D2" s="99"/>
      <c r="E2" s="100"/>
      <c r="F2" s="100"/>
      <c r="G2" s="100"/>
      <c r="H2" s="100"/>
      <c r="I2" s="100"/>
      <c r="J2" s="100"/>
      <c r="K2" s="100"/>
      <c r="L2" s="100"/>
      <c r="M2" s="100"/>
      <c r="N2" s="69" t="s">
        <v>3</v>
      </c>
      <c r="O2" s="69"/>
      <c r="P2" s="69"/>
      <c r="Q2" s="69"/>
      <c r="R2" s="69"/>
      <c r="S2" s="69"/>
      <c r="T2" s="69"/>
      <c r="U2" s="70"/>
      <c r="V2" s="70"/>
    </row>
    <row r="3" spans="1:22" s="42" customFormat="1">
      <c r="A3" s="99"/>
      <c r="B3" s="99"/>
      <c r="C3" s="99"/>
      <c r="D3" s="99"/>
      <c r="E3" s="100"/>
      <c r="F3" s="100"/>
      <c r="G3" s="100"/>
      <c r="H3" s="100"/>
      <c r="I3" s="100"/>
      <c r="J3" s="100"/>
      <c r="K3" s="100"/>
      <c r="L3" s="100"/>
      <c r="M3" s="100"/>
      <c r="N3" s="68" t="s">
        <v>4</v>
      </c>
      <c r="O3" s="68"/>
      <c r="P3" s="68"/>
      <c r="Q3" s="68"/>
      <c r="R3" s="68"/>
      <c r="S3" s="68"/>
      <c r="T3" s="68"/>
      <c r="U3" s="70"/>
      <c r="V3" s="70"/>
    </row>
    <row r="4" spans="1:22" s="42" customFormat="1">
      <c r="A4" s="99" t="s">
        <v>5</v>
      </c>
      <c r="B4" s="99"/>
      <c r="C4" s="99" t="s">
        <v>6</v>
      </c>
      <c r="D4" s="99"/>
      <c r="E4" s="462" t="s">
        <v>183</v>
      </c>
      <c r="F4" s="462"/>
      <c r="G4" s="462"/>
      <c r="H4" s="462"/>
      <c r="I4" s="462"/>
      <c r="J4" s="462"/>
      <c r="K4" s="462"/>
      <c r="L4" s="462"/>
      <c r="M4" s="70"/>
      <c r="N4" s="69" t="s">
        <v>139</v>
      </c>
      <c r="O4" s="69"/>
      <c r="P4" s="69"/>
      <c r="Q4" s="69"/>
      <c r="R4" s="69"/>
      <c r="S4" s="69"/>
      <c r="T4" s="69"/>
      <c r="U4" s="70"/>
      <c r="V4" s="70"/>
    </row>
    <row r="5" spans="1:22" s="44" customFormat="1">
      <c r="A5" s="99"/>
      <c r="B5" s="99"/>
      <c r="C5" s="99"/>
      <c r="D5" s="99"/>
      <c r="E5" s="463" t="s">
        <v>184</v>
      </c>
      <c r="F5" s="463"/>
      <c r="G5" s="463"/>
      <c r="H5" s="463"/>
      <c r="I5" s="463"/>
      <c r="J5" s="463"/>
      <c r="K5" s="463"/>
      <c r="L5" s="463"/>
      <c r="M5" s="463"/>
      <c r="N5" s="100"/>
      <c r="O5" s="100"/>
      <c r="P5" s="100"/>
      <c r="Q5" s="100"/>
      <c r="R5" s="100"/>
      <c r="S5" s="100"/>
      <c r="T5" s="100"/>
      <c r="U5" s="100"/>
      <c r="V5" s="70"/>
    </row>
    <row r="6" spans="1:22" s="44" customFormat="1">
      <c r="A6" s="100"/>
      <c r="B6" s="100"/>
      <c r="C6" s="100"/>
      <c r="D6" s="100"/>
      <c r="E6" s="464" t="s">
        <v>219</v>
      </c>
      <c r="F6" s="464"/>
      <c r="G6" s="464"/>
      <c r="H6" s="464"/>
      <c r="I6" s="464"/>
      <c r="J6" s="464"/>
      <c r="K6" s="464"/>
      <c r="L6" s="464"/>
      <c r="M6" s="464"/>
      <c r="N6" s="100"/>
      <c r="O6" s="100"/>
      <c r="P6" s="100"/>
      <c r="Q6" s="100"/>
      <c r="R6" s="100"/>
      <c r="S6" s="100"/>
      <c r="T6" s="100"/>
      <c r="U6" s="100"/>
      <c r="V6" s="70"/>
    </row>
    <row r="7" spans="1:22" s="44" customFormat="1">
      <c r="A7" s="100"/>
      <c r="B7" s="100"/>
      <c r="C7" s="100"/>
      <c r="D7" s="100"/>
      <c r="E7" s="464" t="s">
        <v>7</v>
      </c>
      <c r="F7" s="464"/>
      <c r="G7" s="464"/>
      <c r="H7" s="464"/>
      <c r="I7" s="464"/>
      <c r="J7" s="464"/>
      <c r="K7" s="464"/>
      <c r="L7" s="464"/>
      <c r="M7" s="464"/>
      <c r="N7" s="100"/>
      <c r="O7" s="100"/>
      <c r="P7" s="100"/>
      <c r="Q7" s="100"/>
      <c r="R7" s="100"/>
      <c r="S7" s="100"/>
      <c r="T7" s="100"/>
      <c r="U7" s="100"/>
      <c r="V7" s="70"/>
    </row>
    <row r="8" spans="1:22" s="44" customForma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 t="s">
        <v>185</v>
      </c>
      <c r="R8" s="100"/>
      <c r="S8" s="100"/>
      <c r="T8" s="100"/>
      <c r="U8" s="100"/>
      <c r="V8" s="70"/>
    </row>
    <row r="9" spans="1:22" s="44" customForma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 t="s">
        <v>265</v>
      </c>
      <c r="R9" s="100"/>
      <c r="S9" s="100"/>
      <c r="T9" s="100"/>
      <c r="U9" s="100"/>
      <c r="V9" s="70"/>
    </row>
    <row r="10" spans="1:22" s="41" customFormat="1" ht="14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 t="s">
        <v>186</v>
      </c>
      <c r="R10" s="70"/>
      <c r="S10" s="70"/>
      <c r="T10" s="70" t="s">
        <v>454</v>
      </c>
      <c r="U10" s="70"/>
      <c r="V10" s="70"/>
    </row>
    <row r="11" spans="1:22" s="41" customFormat="1" ht="14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 t="s">
        <v>188</v>
      </c>
      <c r="R11" s="70"/>
      <c r="S11" s="70"/>
      <c r="T11" s="70">
        <v>3</v>
      </c>
      <c r="U11" s="70"/>
      <c r="V11" s="70"/>
    </row>
    <row r="12" spans="1:22" s="41" customFormat="1" ht="14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 t="s">
        <v>189</v>
      </c>
      <c r="R12" s="70"/>
      <c r="S12" s="70"/>
      <c r="T12" s="70">
        <v>22</v>
      </c>
      <c r="U12" s="70" t="s">
        <v>190</v>
      </c>
      <c r="V12" s="70"/>
    </row>
    <row r="13" spans="1:22" s="41" customFormat="1" ht="14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 t="s">
        <v>191</v>
      </c>
      <c r="R13" s="70"/>
      <c r="S13" s="70"/>
      <c r="T13" s="70">
        <v>22</v>
      </c>
      <c r="U13" s="70">
        <f>T13*100/T12</f>
        <v>100</v>
      </c>
      <c r="V13" s="70" t="s">
        <v>17</v>
      </c>
    </row>
    <row r="14" spans="1:22" s="41" customFormat="1" ht="14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 t="s">
        <v>192</v>
      </c>
      <c r="R14" s="70"/>
      <c r="S14" s="70"/>
      <c r="T14" s="70">
        <v>0</v>
      </c>
      <c r="U14" s="70">
        <f>T14*100/T12</f>
        <v>0</v>
      </c>
      <c r="V14" s="70" t="s">
        <v>17</v>
      </c>
    </row>
    <row r="15" spans="1:22" s="41" customFormat="1" ht="14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 t="s">
        <v>193</v>
      </c>
      <c r="R15" s="70"/>
      <c r="S15" s="70"/>
      <c r="T15" s="324">
        <f>K28</f>
        <v>159.9</v>
      </c>
      <c r="U15" s="70"/>
      <c r="V15" s="70"/>
    </row>
    <row r="16" spans="1:22" s="41" customFormat="1" ht="14.25">
      <c r="A16" s="70"/>
      <c r="B16" s="70" t="s">
        <v>447</v>
      </c>
      <c r="C16" s="70" t="s">
        <v>448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</row>
    <row r="17" spans="1:22" s="41" customFormat="1" ht="14.25">
      <c r="A17" s="459" t="s">
        <v>195</v>
      </c>
      <c r="B17" s="459" t="s">
        <v>196</v>
      </c>
      <c r="C17" s="459" t="s">
        <v>197</v>
      </c>
      <c r="D17" s="459" t="s">
        <v>198</v>
      </c>
      <c r="E17" s="459" t="s">
        <v>10</v>
      </c>
      <c r="F17" s="459" t="s">
        <v>199</v>
      </c>
      <c r="G17" s="459" t="s">
        <v>200</v>
      </c>
      <c r="H17" s="459" t="s">
        <v>201</v>
      </c>
      <c r="I17" s="459" t="s">
        <v>247</v>
      </c>
      <c r="J17" s="459" t="s">
        <v>11</v>
      </c>
      <c r="K17" s="459" t="s">
        <v>203</v>
      </c>
      <c r="L17" s="459" t="s">
        <v>12</v>
      </c>
      <c r="M17" s="458" t="s">
        <v>204</v>
      </c>
      <c r="N17" s="458"/>
      <c r="O17" s="458"/>
      <c r="P17" s="458"/>
      <c r="Q17" s="458"/>
      <c r="R17" s="458"/>
      <c r="S17" s="458"/>
      <c r="T17" s="458"/>
      <c r="U17" s="459" t="s">
        <v>320</v>
      </c>
      <c r="V17" s="459" t="s">
        <v>206</v>
      </c>
    </row>
    <row r="18" spans="1:22" s="41" customFormat="1" ht="14.25">
      <c r="A18" s="460"/>
      <c r="B18" s="460"/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459" t="s">
        <v>207</v>
      </c>
      <c r="N18" s="459" t="s">
        <v>15</v>
      </c>
      <c r="O18" s="458" t="s">
        <v>16</v>
      </c>
      <c r="P18" s="458"/>
      <c r="Q18" s="458"/>
      <c r="R18" s="459"/>
      <c r="S18" s="459"/>
      <c r="T18" s="459"/>
      <c r="U18" s="460"/>
      <c r="V18" s="460"/>
    </row>
    <row r="19" spans="1:22" s="41" customFormat="1" ht="59.25" customHeight="1">
      <c r="A19" s="461"/>
      <c r="B19" s="461"/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71" t="s">
        <v>17</v>
      </c>
      <c r="P19" s="71" t="s">
        <v>18</v>
      </c>
      <c r="Q19" s="71" t="s">
        <v>19</v>
      </c>
      <c r="R19" s="461"/>
      <c r="S19" s="461"/>
      <c r="T19" s="461"/>
      <c r="U19" s="461"/>
      <c r="V19" s="461"/>
    </row>
    <row r="20" spans="1:22" s="55" customFormat="1" ht="59.25" customHeight="1">
      <c r="A20" s="104">
        <v>1</v>
      </c>
      <c r="B20" s="84"/>
      <c r="C20" s="84" t="s">
        <v>255</v>
      </c>
      <c r="D20" s="37" t="s">
        <v>51</v>
      </c>
      <c r="E20" s="84" t="s">
        <v>101</v>
      </c>
      <c r="F20" s="84" t="s">
        <v>102</v>
      </c>
      <c r="G20" s="84" t="s">
        <v>166</v>
      </c>
      <c r="H20" s="74" t="s">
        <v>25</v>
      </c>
      <c r="I20" s="82">
        <v>92201</v>
      </c>
      <c r="J20" s="75">
        <f t="shared" ref="J20:J21" si="0">I20/72</f>
        <v>1280.57</v>
      </c>
      <c r="K20" s="342">
        <v>7.4</v>
      </c>
      <c r="L20" s="77">
        <f t="shared" ref="L20:L21" si="1">J20*K20</f>
        <v>9476</v>
      </c>
      <c r="M20" s="104"/>
      <c r="N20" s="104"/>
      <c r="O20" s="102"/>
      <c r="P20" s="102"/>
      <c r="Q20" s="77">
        <f t="shared" ref="Q20:Q21" si="2">17697*25%/72*P20</f>
        <v>0</v>
      </c>
      <c r="R20" s="104"/>
      <c r="S20" s="104"/>
      <c r="T20" s="104"/>
      <c r="U20" s="77">
        <f t="shared" ref="U20:U27" si="3">L20*10%</f>
        <v>948</v>
      </c>
      <c r="V20" s="77">
        <f t="shared" ref="V20:V27" si="4">M20+N20+Q20+R20+T20+U20+S20+L20</f>
        <v>10424</v>
      </c>
    </row>
    <row r="21" spans="1:22" s="55" customFormat="1" ht="89.25" customHeight="1">
      <c r="A21" s="104">
        <v>2</v>
      </c>
      <c r="B21" s="83"/>
      <c r="C21" s="81" t="s">
        <v>345</v>
      </c>
      <c r="D21" s="37" t="s">
        <v>51</v>
      </c>
      <c r="E21" s="80" t="s">
        <v>126</v>
      </c>
      <c r="F21" s="37" t="s">
        <v>127</v>
      </c>
      <c r="G21" s="80" t="s">
        <v>41</v>
      </c>
      <c r="H21" s="82" t="s">
        <v>42</v>
      </c>
      <c r="I21" s="74">
        <v>93971</v>
      </c>
      <c r="J21" s="75">
        <f t="shared" si="0"/>
        <v>1305.1500000000001</v>
      </c>
      <c r="K21" s="342">
        <v>3.6</v>
      </c>
      <c r="L21" s="77">
        <f t="shared" si="1"/>
        <v>4699</v>
      </c>
      <c r="M21" s="104"/>
      <c r="N21" s="104"/>
      <c r="O21" s="102"/>
      <c r="P21" s="102"/>
      <c r="Q21" s="77">
        <f t="shared" si="2"/>
        <v>0</v>
      </c>
      <c r="R21" s="104"/>
      <c r="S21" s="104"/>
      <c r="T21" s="104"/>
      <c r="U21" s="77">
        <f t="shared" si="3"/>
        <v>470</v>
      </c>
      <c r="V21" s="77">
        <f t="shared" si="4"/>
        <v>5169</v>
      </c>
    </row>
    <row r="22" spans="1:22" s="55" customFormat="1" ht="63.75">
      <c r="A22" s="104">
        <v>3</v>
      </c>
      <c r="B22" s="80"/>
      <c r="C22" s="81" t="s">
        <v>106</v>
      </c>
      <c r="D22" s="37" t="s">
        <v>51</v>
      </c>
      <c r="E22" s="80" t="s">
        <v>107</v>
      </c>
      <c r="F22" s="37" t="s">
        <v>108</v>
      </c>
      <c r="G22" s="90" t="s">
        <v>142</v>
      </c>
      <c r="H22" s="82" t="s">
        <v>25</v>
      </c>
      <c r="I22" s="82">
        <v>90609</v>
      </c>
      <c r="J22" s="75">
        <f>I22/72</f>
        <v>1258.46</v>
      </c>
      <c r="K22" s="76">
        <v>3.6</v>
      </c>
      <c r="L22" s="77">
        <f>J22*K22</f>
        <v>4530</v>
      </c>
      <c r="M22" s="102"/>
      <c r="N22" s="102"/>
      <c r="O22" s="102"/>
      <c r="P22" s="102"/>
      <c r="Q22" s="77">
        <f>17697*25%/72*P22</f>
        <v>0</v>
      </c>
      <c r="R22" s="77"/>
      <c r="S22" s="77"/>
      <c r="T22" s="77"/>
      <c r="U22" s="77">
        <f t="shared" si="3"/>
        <v>453</v>
      </c>
      <c r="V22" s="77">
        <f t="shared" si="4"/>
        <v>4983</v>
      </c>
    </row>
    <row r="23" spans="1:22" s="53" customFormat="1" ht="127.5" customHeight="1">
      <c r="A23" s="104">
        <v>4</v>
      </c>
      <c r="B23" s="80"/>
      <c r="C23" s="80" t="s">
        <v>531</v>
      </c>
      <c r="D23" s="37" t="s">
        <v>51</v>
      </c>
      <c r="E23" s="37" t="s">
        <v>128</v>
      </c>
      <c r="F23" s="80" t="s">
        <v>129</v>
      </c>
      <c r="G23" s="80" t="s">
        <v>154</v>
      </c>
      <c r="H23" s="82" t="s">
        <v>25</v>
      </c>
      <c r="I23" s="82">
        <v>87246</v>
      </c>
      <c r="J23" s="75">
        <f t="shared" ref="J23:J26" si="5">I23/72</f>
        <v>1211.75</v>
      </c>
      <c r="K23" s="76">
        <f>8+31.4+5.4+5.4</f>
        <v>50.2</v>
      </c>
      <c r="L23" s="77">
        <f t="shared" ref="L23:L27" si="6">J23*K23</f>
        <v>60830</v>
      </c>
      <c r="M23" s="102">
        <v>4424</v>
      </c>
      <c r="N23" s="102"/>
      <c r="O23" s="102"/>
      <c r="P23" s="102"/>
      <c r="Q23" s="77">
        <f t="shared" ref="Q23" si="7">17697*25%/72*P23</f>
        <v>0</v>
      </c>
      <c r="R23" s="102"/>
      <c r="S23" s="102"/>
      <c r="T23" s="77"/>
      <c r="U23" s="77">
        <f t="shared" si="3"/>
        <v>6083</v>
      </c>
      <c r="V23" s="77">
        <f t="shared" si="4"/>
        <v>71337</v>
      </c>
    </row>
    <row r="24" spans="1:22" s="53" customFormat="1" ht="36.75" customHeight="1">
      <c r="A24" s="104">
        <v>5</v>
      </c>
      <c r="B24" s="80"/>
      <c r="C24" s="81" t="s">
        <v>449</v>
      </c>
      <c r="D24" s="37" t="s">
        <v>51</v>
      </c>
      <c r="E24" s="80" t="s">
        <v>31</v>
      </c>
      <c r="F24" s="80" t="s">
        <v>72</v>
      </c>
      <c r="G24" s="80" t="s">
        <v>154</v>
      </c>
      <c r="H24" s="82" t="s">
        <v>25</v>
      </c>
      <c r="I24" s="82">
        <v>87246</v>
      </c>
      <c r="J24" s="75">
        <f t="shared" si="5"/>
        <v>1211.75</v>
      </c>
      <c r="K24" s="102">
        <v>29.8</v>
      </c>
      <c r="L24" s="77">
        <f t="shared" si="6"/>
        <v>36110</v>
      </c>
      <c r="M24" s="102"/>
      <c r="N24" s="102">
        <v>4424</v>
      </c>
      <c r="O24" s="102"/>
      <c r="P24" s="102"/>
      <c r="Q24" s="77">
        <f>17697*20%/72*P24</f>
        <v>0</v>
      </c>
      <c r="R24" s="102"/>
      <c r="S24" s="102"/>
      <c r="T24" s="77"/>
      <c r="U24" s="77">
        <f t="shared" si="3"/>
        <v>3611</v>
      </c>
      <c r="V24" s="77">
        <f t="shared" si="4"/>
        <v>44145</v>
      </c>
    </row>
    <row r="25" spans="1:22" s="53" customFormat="1" ht="41.25" customHeight="1">
      <c r="A25" s="104">
        <v>6</v>
      </c>
      <c r="B25" s="80"/>
      <c r="C25" s="81" t="s">
        <v>450</v>
      </c>
      <c r="D25" s="37" t="s">
        <v>51</v>
      </c>
      <c r="E25" s="80" t="s">
        <v>97</v>
      </c>
      <c r="F25" s="80" t="s">
        <v>98</v>
      </c>
      <c r="G25" s="80" t="s">
        <v>165</v>
      </c>
      <c r="H25" s="74" t="s">
        <v>25</v>
      </c>
      <c r="I25" s="82">
        <v>92201</v>
      </c>
      <c r="J25" s="75">
        <f t="shared" si="5"/>
        <v>1280.57</v>
      </c>
      <c r="K25" s="76">
        <v>11.6</v>
      </c>
      <c r="L25" s="77">
        <f t="shared" si="6"/>
        <v>14855</v>
      </c>
      <c r="M25" s="102"/>
      <c r="N25" s="102"/>
      <c r="O25" s="102"/>
      <c r="P25" s="102"/>
      <c r="Q25" s="77">
        <f t="shared" ref="Q25:Q27" si="8">17697*20%/72*P25</f>
        <v>0</v>
      </c>
      <c r="R25" s="102"/>
      <c r="S25" s="102"/>
      <c r="T25" s="77"/>
      <c r="U25" s="77">
        <f t="shared" si="3"/>
        <v>1486</v>
      </c>
      <c r="V25" s="77">
        <f t="shared" si="4"/>
        <v>16341</v>
      </c>
    </row>
    <row r="26" spans="1:22" s="53" customFormat="1" ht="51" customHeight="1">
      <c r="A26" s="104">
        <v>7</v>
      </c>
      <c r="B26" s="94"/>
      <c r="C26" s="94" t="s">
        <v>451</v>
      </c>
      <c r="D26" s="37" t="s">
        <v>51</v>
      </c>
      <c r="E26" s="94" t="s">
        <v>222</v>
      </c>
      <c r="F26" s="94" t="s">
        <v>223</v>
      </c>
      <c r="G26" s="108" t="s">
        <v>380</v>
      </c>
      <c r="H26" s="86" t="s">
        <v>25</v>
      </c>
      <c r="I26" s="94">
        <v>85653</v>
      </c>
      <c r="J26" s="75">
        <f t="shared" si="5"/>
        <v>1189.6300000000001</v>
      </c>
      <c r="K26" s="76">
        <v>3.3</v>
      </c>
      <c r="L26" s="77">
        <f t="shared" si="6"/>
        <v>3926</v>
      </c>
      <c r="M26" s="102"/>
      <c r="N26" s="102"/>
      <c r="O26" s="102"/>
      <c r="P26" s="102"/>
      <c r="Q26" s="77">
        <f t="shared" si="8"/>
        <v>0</v>
      </c>
      <c r="R26" s="102"/>
      <c r="S26" s="102"/>
      <c r="T26" s="77"/>
      <c r="U26" s="77">
        <f t="shared" si="3"/>
        <v>393</v>
      </c>
      <c r="V26" s="77">
        <f t="shared" si="4"/>
        <v>4319</v>
      </c>
    </row>
    <row r="27" spans="1:22" s="53" customFormat="1" ht="51">
      <c r="A27" s="104">
        <v>8</v>
      </c>
      <c r="B27" s="37"/>
      <c r="C27" s="93" t="s">
        <v>452</v>
      </c>
      <c r="D27" s="102" t="s">
        <v>51</v>
      </c>
      <c r="E27" s="94"/>
      <c r="F27" s="94"/>
      <c r="G27" s="36" t="s">
        <v>50</v>
      </c>
      <c r="H27" s="82" t="s">
        <v>42</v>
      </c>
      <c r="I27" s="36">
        <v>85653</v>
      </c>
      <c r="J27" s="75">
        <f>I27/72</f>
        <v>1189.6300000000001</v>
      </c>
      <c r="K27" s="102">
        <f>1.8+1.8+4.4+10+32.4</f>
        <v>50.4</v>
      </c>
      <c r="L27" s="107">
        <f t="shared" si="6"/>
        <v>59957</v>
      </c>
      <c r="M27" s="102"/>
      <c r="N27" s="102"/>
      <c r="O27" s="102"/>
      <c r="P27" s="102"/>
      <c r="Q27" s="77">
        <f t="shared" si="8"/>
        <v>0</v>
      </c>
      <c r="R27" s="102"/>
      <c r="S27" s="102"/>
      <c r="T27" s="77"/>
      <c r="U27" s="77">
        <f t="shared" si="3"/>
        <v>5996</v>
      </c>
      <c r="V27" s="77">
        <f t="shared" si="4"/>
        <v>65953</v>
      </c>
    </row>
    <row r="28" spans="1:22" s="53" customFormat="1">
      <c r="A28" s="104"/>
      <c r="B28" s="104" t="s">
        <v>8</v>
      </c>
      <c r="C28" s="102"/>
      <c r="D28" s="102"/>
      <c r="E28" s="102"/>
      <c r="F28" s="102"/>
      <c r="G28" s="104"/>
      <c r="H28" s="102"/>
      <c r="I28" s="102"/>
      <c r="J28" s="75"/>
      <c r="K28" s="75">
        <f>SUM(K20:K27)</f>
        <v>159.9</v>
      </c>
      <c r="L28" s="75">
        <f t="shared" ref="L28:V28" si="9">SUM(L20:L27)</f>
        <v>194383</v>
      </c>
      <c r="M28" s="75">
        <f t="shared" si="9"/>
        <v>4424</v>
      </c>
      <c r="N28" s="75">
        <f t="shared" si="9"/>
        <v>4424</v>
      </c>
      <c r="O28" s="75">
        <f t="shared" si="9"/>
        <v>0</v>
      </c>
      <c r="P28" s="75">
        <f t="shared" si="9"/>
        <v>0</v>
      </c>
      <c r="Q28" s="75">
        <f t="shared" si="9"/>
        <v>0</v>
      </c>
      <c r="R28" s="75">
        <f t="shared" si="9"/>
        <v>0</v>
      </c>
      <c r="S28" s="75">
        <f t="shared" si="9"/>
        <v>0</v>
      </c>
      <c r="T28" s="75">
        <f t="shared" si="9"/>
        <v>0</v>
      </c>
      <c r="U28" s="75">
        <f t="shared" si="9"/>
        <v>19440</v>
      </c>
      <c r="V28" s="75">
        <f t="shared" si="9"/>
        <v>222671</v>
      </c>
    </row>
    <row r="29" spans="1:22" s="53" customFormat="1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 t="s">
        <v>213</v>
      </c>
      <c r="P29" s="96"/>
      <c r="Q29" s="96"/>
      <c r="R29" s="96"/>
      <c r="S29" s="97"/>
      <c r="T29" s="97"/>
      <c r="U29" s="98"/>
      <c r="V29" s="98"/>
    </row>
    <row r="30" spans="1:22" s="53" customFormat="1">
      <c r="A30" s="344"/>
      <c r="B30" s="344"/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</row>
    <row r="31" spans="1:22" s="53" customFormat="1">
      <c r="A31" s="99" t="s">
        <v>0</v>
      </c>
      <c r="B31" s="99"/>
      <c r="C31" s="99"/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69" t="s">
        <v>1</v>
      </c>
      <c r="O31" s="69"/>
      <c r="P31" s="69"/>
      <c r="Q31" s="69"/>
      <c r="R31" s="69"/>
      <c r="S31" s="69"/>
      <c r="T31" s="69"/>
      <c r="U31" s="70"/>
      <c r="V31" s="70"/>
    </row>
    <row r="32" spans="1:22" s="53" customFormat="1">
      <c r="A32" s="99" t="s">
        <v>2</v>
      </c>
      <c r="B32" s="99"/>
      <c r="C32" s="99"/>
      <c r="D32" s="99"/>
      <c r="E32" s="100"/>
      <c r="F32" s="100"/>
      <c r="G32" s="100"/>
      <c r="H32" s="100"/>
      <c r="I32" s="100"/>
      <c r="J32" s="100"/>
      <c r="K32" s="100"/>
      <c r="L32" s="100"/>
      <c r="M32" s="100"/>
      <c r="N32" s="69" t="s">
        <v>3</v>
      </c>
      <c r="O32" s="69"/>
      <c r="P32" s="69"/>
      <c r="Q32" s="69"/>
      <c r="R32" s="69"/>
      <c r="S32" s="69"/>
      <c r="T32" s="69"/>
      <c r="U32" s="70"/>
      <c r="V32" s="70"/>
    </row>
    <row r="33" spans="1:22" s="53" customFormat="1">
      <c r="A33" s="99"/>
      <c r="B33" s="99"/>
      <c r="C33" s="99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68" t="s">
        <v>4</v>
      </c>
      <c r="O33" s="68"/>
      <c r="P33" s="68"/>
      <c r="Q33" s="68"/>
      <c r="R33" s="68"/>
      <c r="S33" s="68"/>
      <c r="T33" s="68"/>
      <c r="U33" s="70"/>
      <c r="V33" s="70"/>
    </row>
    <row r="34" spans="1:22" s="53" customFormat="1">
      <c r="A34" s="99" t="s">
        <v>5</v>
      </c>
      <c r="B34" s="99"/>
      <c r="C34" s="99" t="s">
        <v>6</v>
      </c>
      <c r="D34" s="99"/>
      <c r="E34" s="462" t="s">
        <v>183</v>
      </c>
      <c r="F34" s="462"/>
      <c r="G34" s="462"/>
      <c r="H34" s="462"/>
      <c r="I34" s="462"/>
      <c r="J34" s="462"/>
      <c r="K34" s="462"/>
      <c r="L34" s="462"/>
      <c r="M34" s="70"/>
      <c r="N34" s="69" t="s">
        <v>139</v>
      </c>
      <c r="O34" s="69"/>
      <c r="P34" s="69"/>
      <c r="Q34" s="69"/>
      <c r="R34" s="69"/>
      <c r="S34" s="69"/>
      <c r="T34" s="69"/>
      <c r="U34" s="70"/>
      <c r="V34" s="70"/>
    </row>
    <row r="35" spans="1:22" s="2" customFormat="1">
      <c r="A35" s="99"/>
      <c r="B35" s="99"/>
      <c r="C35" s="99"/>
      <c r="D35" s="99"/>
      <c r="E35" s="463" t="s">
        <v>184</v>
      </c>
      <c r="F35" s="463"/>
      <c r="G35" s="463"/>
      <c r="H35" s="463"/>
      <c r="I35" s="463"/>
      <c r="J35" s="463"/>
      <c r="K35" s="463"/>
      <c r="L35" s="463"/>
      <c r="M35" s="463"/>
      <c r="N35" s="100"/>
      <c r="O35" s="100"/>
      <c r="P35" s="100"/>
      <c r="Q35" s="100"/>
      <c r="R35" s="100"/>
      <c r="S35" s="100"/>
      <c r="T35" s="100"/>
      <c r="U35" s="100"/>
      <c r="V35" s="70"/>
    </row>
    <row r="36" spans="1:22" s="2" customFormat="1">
      <c r="A36" s="100"/>
      <c r="B36" s="100"/>
      <c r="C36" s="100"/>
      <c r="D36" s="100"/>
      <c r="E36" s="464" t="s">
        <v>219</v>
      </c>
      <c r="F36" s="464"/>
      <c r="G36" s="464"/>
      <c r="H36" s="464"/>
      <c r="I36" s="464"/>
      <c r="J36" s="464"/>
      <c r="K36" s="464"/>
      <c r="L36" s="464"/>
      <c r="M36" s="464"/>
      <c r="N36" s="100"/>
      <c r="O36" s="100"/>
      <c r="P36" s="100"/>
      <c r="Q36" s="100"/>
      <c r="R36" s="100"/>
      <c r="S36" s="100"/>
      <c r="T36" s="100"/>
      <c r="U36" s="100"/>
      <c r="V36" s="70"/>
    </row>
    <row r="37" spans="1:22" s="2" customFormat="1">
      <c r="A37" s="100"/>
      <c r="B37" s="100"/>
      <c r="C37" s="100"/>
      <c r="D37" s="100"/>
      <c r="E37" s="464" t="s">
        <v>7</v>
      </c>
      <c r="F37" s="464"/>
      <c r="G37" s="464"/>
      <c r="H37" s="464"/>
      <c r="I37" s="464"/>
      <c r="J37" s="464"/>
      <c r="K37" s="464"/>
      <c r="L37" s="464"/>
      <c r="M37" s="464"/>
      <c r="N37" s="100"/>
      <c r="O37" s="100"/>
      <c r="P37" s="100"/>
      <c r="Q37" s="100"/>
      <c r="R37" s="100"/>
      <c r="S37" s="100"/>
      <c r="T37" s="100"/>
      <c r="U37" s="100"/>
      <c r="V37" s="70"/>
    </row>
    <row r="38" spans="1:22" s="2" customFormat="1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 t="s">
        <v>185</v>
      </c>
      <c r="R38" s="100"/>
      <c r="S38" s="100"/>
      <c r="T38" s="100"/>
      <c r="U38" s="100"/>
      <c r="V38" s="70"/>
    </row>
    <row r="39" spans="1:22" s="2" customFormat="1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 t="s">
        <v>265</v>
      </c>
      <c r="R39" s="100"/>
      <c r="S39" s="100"/>
      <c r="T39" s="100"/>
      <c r="U39" s="100"/>
      <c r="V39" s="70"/>
    </row>
    <row r="40" spans="1:22" s="2" customFormat="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 t="s">
        <v>186</v>
      </c>
      <c r="R40" s="70"/>
      <c r="S40" s="70"/>
      <c r="T40" s="70" t="s">
        <v>455</v>
      </c>
      <c r="U40" s="70"/>
      <c r="V40" s="70"/>
    </row>
    <row r="41" spans="1:22" s="2" customFormat="1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 t="s">
        <v>188</v>
      </c>
      <c r="R41" s="70"/>
      <c r="S41" s="70"/>
      <c r="T41" s="70">
        <v>4</v>
      </c>
      <c r="U41" s="70"/>
      <c r="V41" s="70"/>
    </row>
    <row r="42" spans="1:22" s="2" customForma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 t="s">
        <v>189</v>
      </c>
      <c r="R42" s="70"/>
      <c r="S42" s="70"/>
      <c r="T42" s="70">
        <v>16</v>
      </c>
      <c r="U42" s="70" t="s">
        <v>190</v>
      </c>
      <c r="V42" s="70"/>
    </row>
    <row r="43" spans="1:22" s="2" customFormat="1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 t="s">
        <v>191</v>
      </c>
      <c r="R43" s="70"/>
      <c r="S43" s="70"/>
      <c r="T43" s="70">
        <v>1</v>
      </c>
      <c r="U43" s="70">
        <f>T43*100/T42</f>
        <v>6.25</v>
      </c>
      <c r="V43" s="70" t="s">
        <v>17</v>
      </c>
    </row>
    <row r="44" spans="1:22" s="2" customFormat="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 t="s">
        <v>192</v>
      </c>
      <c r="R44" s="70"/>
      <c r="S44" s="70"/>
      <c r="T44" s="70">
        <v>15</v>
      </c>
      <c r="U44" s="70">
        <f>T44*100/T42</f>
        <v>93.75</v>
      </c>
      <c r="V44" s="70" t="s">
        <v>17</v>
      </c>
    </row>
    <row r="45" spans="1:22" s="2" customFormat="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 t="s">
        <v>193</v>
      </c>
      <c r="R45" s="70"/>
      <c r="S45" s="70"/>
      <c r="T45" s="324">
        <f>K56</f>
        <v>151.6</v>
      </c>
      <c r="U45" s="70"/>
      <c r="V45" s="70"/>
    </row>
    <row r="46" spans="1:22" s="2" customFormat="1">
      <c r="A46" s="70"/>
      <c r="B46" s="70" t="s">
        <v>453</v>
      </c>
      <c r="C46" s="70" t="s">
        <v>448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</row>
    <row r="47" spans="1:22" s="2" customFormat="1">
      <c r="A47" s="459" t="s">
        <v>195</v>
      </c>
      <c r="B47" s="459" t="s">
        <v>196</v>
      </c>
      <c r="C47" s="459" t="s">
        <v>197</v>
      </c>
      <c r="D47" s="459" t="s">
        <v>198</v>
      </c>
      <c r="E47" s="459" t="s">
        <v>10</v>
      </c>
      <c r="F47" s="459" t="s">
        <v>199</v>
      </c>
      <c r="G47" s="459" t="s">
        <v>200</v>
      </c>
      <c r="H47" s="459" t="s">
        <v>201</v>
      </c>
      <c r="I47" s="459" t="s">
        <v>247</v>
      </c>
      <c r="J47" s="459" t="s">
        <v>11</v>
      </c>
      <c r="K47" s="459" t="s">
        <v>203</v>
      </c>
      <c r="L47" s="459" t="s">
        <v>12</v>
      </c>
      <c r="M47" s="458" t="s">
        <v>204</v>
      </c>
      <c r="N47" s="458"/>
      <c r="O47" s="458"/>
      <c r="P47" s="458"/>
      <c r="Q47" s="458"/>
      <c r="R47" s="458"/>
      <c r="S47" s="458"/>
      <c r="T47" s="458"/>
      <c r="U47" s="459" t="s">
        <v>320</v>
      </c>
      <c r="V47" s="459" t="s">
        <v>206</v>
      </c>
    </row>
    <row r="48" spans="1:22" s="2" customFormat="1">
      <c r="A48" s="460"/>
      <c r="B48" s="460"/>
      <c r="C48" s="460"/>
      <c r="D48" s="460"/>
      <c r="E48" s="460"/>
      <c r="F48" s="460"/>
      <c r="G48" s="460"/>
      <c r="H48" s="460"/>
      <c r="I48" s="460"/>
      <c r="J48" s="460"/>
      <c r="K48" s="460"/>
      <c r="L48" s="460"/>
      <c r="M48" s="459" t="s">
        <v>207</v>
      </c>
      <c r="N48" s="459" t="s">
        <v>15</v>
      </c>
      <c r="O48" s="458" t="s">
        <v>16</v>
      </c>
      <c r="P48" s="458"/>
      <c r="Q48" s="458"/>
      <c r="R48" s="459"/>
      <c r="S48" s="459"/>
      <c r="T48" s="459"/>
      <c r="U48" s="460"/>
      <c r="V48" s="460"/>
    </row>
    <row r="49" spans="1:22" s="2" customFormat="1" ht="59.25" customHeight="1">
      <c r="A49" s="461"/>
      <c r="B49" s="461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71" t="s">
        <v>17</v>
      </c>
      <c r="P49" s="71" t="s">
        <v>18</v>
      </c>
      <c r="Q49" s="71" t="s">
        <v>19</v>
      </c>
      <c r="R49" s="461"/>
      <c r="S49" s="461"/>
      <c r="T49" s="461"/>
      <c r="U49" s="461"/>
      <c r="V49" s="461"/>
    </row>
    <row r="50" spans="1:22" s="2" customFormat="1" ht="25.5">
      <c r="A50" s="104">
        <v>1</v>
      </c>
      <c r="B50" s="84"/>
      <c r="C50" s="84" t="s">
        <v>100</v>
      </c>
      <c r="D50" s="37" t="s">
        <v>51</v>
      </c>
      <c r="E50" s="84" t="s">
        <v>101</v>
      </c>
      <c r="F50" s="84" t="s">
        <v>102</v>
      </c>
      <c r="G50" s="84" t="s">
        <v>166</v>
      </c>
      <c r="H50" s="74" t="s">
        <v>25</v>
      </c>
      <c r="I50" s="82">
        <v>92201</v>
      </c>
      <c r="J50" s="75">
        <f t="shared" ref="J50:J51" si="10">I50/72</f>
        <v>1280.57</v>
      </c>
      <c r="K50" s="342">
        <v>1</v>
      </c>
      <c r="L50" s="77">
        <f t="shared" ref="L50:L51" si="11">J50*K50</f>
        <v>1281</v>
      </c>
      <c r="M50" s="104"/>
      <c r="N50" s="104"/>
      <c r="O50" s="102"/>
      <c r="P50" s="102"/>
      <c r="Q50" s="77">
        <f t="shared" ref="Q50:Q51" si="12">17697*25%/72*P50</f>
        <v>0</v>
      </c>
      <c r="R50" s="104"/>
      <c r="S50" s="104"/>
      <c r="T50" s="104"/>
      <c r="U50" s="77">
        <f t="shared" ref="U50:U55" si="13">L50*10%</f>
        <v>128</v>
      </c>
      <c r="V50" s="77">
        <f t="shared" ref="V50:V55" si="14">M50+N50+Q50+R50+T50+U50+S50+L50</f>
        <v>1409</v>
      </c>
    </row>
    <row r="51" spans="1:22" s="2" customFormat="1" ht="38.25">
      <c r="A51" s="104">
        <v>2</v>
      </c>
      <c r="B51" s="80"/>
      <c r="C51" s="81" t="s">
        <v>96</v>
      </c>
      <c r="D51" s="37" t="s">
        <v>51</v>
      </c>
      <c r="E51" s="80" t="s">
        <v>97</v>
      </c>
      <c r="F51" s="80" t="s">
        <v>98</v>
      </c>
      <c r="G51" s="80" t="s">
        <v>165</v>
      </c>
      <c r="H51" s="74" t="s">
        <v>25</v>
      </c>
      <c r="I51" s="82">
        <v>92201</v>
      </c>
      <c r="J51" s="75">
        <f t="shared" si="10"/>
        <v>1280.57</v>
      </c>
      <c r="K51" s="342">
        <v>8.6</v>
      </c>
      <c r="L51" s="77">
        <f t="shared" si="11"/>
        <v>11013</v>
      </c>
      <c r="M51" s="104"/>
      <c r="N51" s="104"/>
      <c r="O51" s="102"/>
      <c r="P51" s="102"/>
      <c r="Q51" s="77">
        <f t="shared" si="12"/>
        <v>0</v>
      </c>
      <c r="R51" s="104"/>
      <c r="S51" s="104"/>
      <c r="T51" s="104"/>
      <c r="U51" s="77">
        <f t="shared" si="13"/>
        <v>1101</v>
      </c>
      <c r="V51" s="77">
        <f t="shared" si="14"/>
        <v>12114</v>
      </c>
    </row>
    <row r="52" spans="1:22" s="2" customFormat="1" ht="89.25">
      <c r="A52" s="104">
        <v>3</v>
      </c>
      <c r="B52" s="80"/>
      <c r="C52" s="81" t="s">
        <v>532</v>
      </c>
      <c r="D52" s="37" t="s">
        <v>51</v>
      </c>
      <c r="E52" s="80" t="s">
        <v>31</v>
      </c>
      <c r="F52" s="80" t="s">
        <v>72</v>
      </c>
      <c r="G52" s="80" t="s">
        <v>154</v>
      </c>
      <c r="H52" s="82" t="s">
        <v>25</v>
      </c>
      <c r="I52" s="82">
        <v>87246</v>
      </c>
      <c r="J52" s="75">
        <f>I52/72</f>
        <v>1211.75</v>
      </c>
      <c r="K52" s="76">
        <f>11+14.4+2.8</f>
        <v>28.2</v>
      </c>
      <c r="L52" s="77">
        <f>J52*K52</f>
        <v>34171</v>
      </c>
      <c r="M52" s="102">
        <v>4424</v>
      </c>
      <c r="N52" s="102"/>
      <c r="O52" s="102"/>
      <c r="P52" s="102"/>
      <c r="Q52" s="77">
        <f>17697*25%/72*P52</f>
        <v>0</v>
      </c>
      <c r="R52" s="77"/>
      <c r="S52" s="77"/>
      <c r="T52" s="77"/>
      <c r="U52" s="77">
        <f t="shared" si="13"/>
        <v>3417</v>
      </c>
      <c r="V52" s="77">
        <f t="shared" si="14"/>
        <v>42012</v>
      </c>
    </row>
    <row r="53" spans="1:22" s="2" customFormat="1" ht="38.25">
      <c r="A53" s="104">
        <v>4</v>
      </c>
      <c r="B53" s="80"/>
      <c r="C53" s="80" t="s">
        <v>457</v>
      </c>
      <c r="D53" s="37" t="s">
        <v>51</v>
      </c>
      <c r="E53" s="37" t="s">
        <v>128</v>
      </c>
      <c r="F53" s="80" t="s">
        <v>129</v>
      </c>
      <c r="G53" s="80" t="s">
        <v>154</v>
      </c>
      <c r="H53" s="82" t="s">
        <v>25</v>
      </c>
      <c r="I53" s="82">
        <v>87246</v>
      </c>
      <c r="J53" s="75">
        <f t="shared" ref="J53:J54" si="15">I53/72</f>
        <v>1211.75</v>
      </c>
      <c r="K53" s="76">
        <v>8.8000000000000007</v>
      </c>
      <c r="L53" s="77">
        <f t="shared" ref="L53:L55" si="16">J53*K53</f>
        <v>10663</v>
      </c>
      <c r="M53" s="102"/>
      <c r="N53" s="102"/>
      <c r="O53" s="102"/>
      <c r="P53" s="102"/>
      <c r="Q53" s="77">
        <f t="shared" ref="Q53" si="17">17697*25%/72*P53</f>
        <v>0</v>
      </c>
      <c r="R53" s="102"/>
      <c r="S53" s="102"/>
      <c r="T53" s="77"/>
      <c r="U53" s="77">
        <f t="shared" si="13"/>
        <v>1066</v>
      </c>
      <c r="V53" s="77">
        <f t="shared" si="14"/>
        <v>11729</v>
      </c>
    </row>
    <row r="54" spans="1:22" s="2" customFormat="1" ht="51">
      <c r="A54" s="104">
        <v>5</v>
      </c>
      <c r="B54" s="94"/>
      <c r="C54" s="94" t="s">
        <v>458</v>
      </c>
      <c r="D54" s="37" t="s">
        <v>51</v>
      </c>
      <c r="E54" s="94" t="s">
        <v>222</v>
      </c>
      <c r="F54" s="94" t="s">
        <v>223</v>
      </c>
      <c r="G54" s="108" t="s">
        <v>380</v>
      </c>
      <c r="H54" s="86" t="s">
        <v>25</v>
      </c>
      <c r="I54" s="94">
        <v>85653</v>
      </c>
      <c r="J54" s="75">
        <f t="shared" si="15"/>
        <v>1189.6300000000001</v>
      </c>
      <c r="K54" s="102">
        <v>10.199999999999999</v>
      </c>
      <c r="L54" s="77">
        <f t="shared" si="16"/>
        <v>12134</v>
      </c>
      <c r="M54" s="102"/>
      <c r="N54" s="102"/>
      <c r="O54" s="102"/>
      <c r="P54" s="102"/>
      <c r="Q54" s="77">
        <f>17697*20%/72*P54</f>
        <v>0</v>
      </c>
      <c r="R54" s="102"/>
      <c r="S54" s="102"/>
      <c r="T54" s="77"/>
      <c r="U54" s="77">
        <f t="shared" si="13"/>
        <v>1213</v>
      </c>
      <c r="V54" s="77">
        <f t="shared" si="14"/>
        <v>13347</v>
      </c>
    </row>
    <row r="55" spans="1:22" s="2" customFormat="1" ht="51">
      <c r="A55" s="104">
        <v>6</v>
      </c>
      <c r="B55" s="37"/>
      <c r="C55" s="93" t="s">
        <v>459</v>
      </c>
      <c r="D55" s="102" t="s">
        <v>51</v>
      </c>
      <c r="E55" s="94"/>
      <c r="F55" s="94"/>
      <c r="G55" s="36" t="s">
        <v>50</v>
      </c>
      <c r="H55" s="82" t="s">
        <v>42</v>
      </c>
      <c r="I55" s="36">
        <v>85653</v>
      </c>
      <c r="J55" s="75">
        <f>I55/72</f>
        <v>1189.6300000000001</v>
      </c>
      <c r="K55" s="102">
        <f>1.6+3.2+10+21.6+7.2+51.2</f>
        <v>94.8</v>
      </c>
      <c r="L55" s="107">
        <f t="shared" si="16"/>
        <v>112777</v>
      </c>
      <c r="M55" s="102"/>
      <c r="N55" s="102"/>
      <c r="O55" s="102"/>
      <c r="P55" s="102"/>
      <c r="Q55" s="77">
        <f t="shared" ref="Q55" si="18">17697*20%/72*P55</f>
        <v>0</v>
      </c>
      <c r="R55" s="102"/>
      <c r="S55" s="102"/>
      <c r="T55" s="77"/>
      <c r="U55" s="77">
        <f t="shared" si="13"/>
        <v>11278</v>
      </c>
      <c r="V55" s="77">
        <f t="shared" si="14"/>
        <v>124055</v>
      </c>
    </row>
    <row r="56" spans="1:22" s="2" customFormat="1">
      <c r="A56" s="104"/>
      <c r="B56" s="104" t="s">
        <v>8</v>
      </c>
      <c r="C56" s="102"/>
      <c r="D56" s="102"/>
      <c r="E56" s="102"/>
      <c r="F56" s="102"/>
      <c r="G56" s="104"/>
      <c r="H56" s="102"/>
      <c r="I56" s="102"/>
      <c r="J56" s="75"/>
      <c r="K56" s="75">
        <f t="shared" ref="K56:V56" si="19">SUM(K50:K55)</f>
        <v>151.6</v>
      </c>
      <c r="L56" s="75">
        <f t="shared" si="19"/>
        <v>182039</v>
      </c>
      <c r="M56" s="75">
        <f t="shared" si="19"/>
        <v>4424</v>
      </c>
      <c r="N56" s="75">
        <f t="shared" si="19"/>
        <v>0</v>
      </c>
      <c r="O56" s="75">
        <f t="shared" si="19"/>
        <v>0</v>
      </c>
      <c r="P56" s="75">
        <f t="shared" si="19"/>
        <v>0</v>
      </c>
      <c r="Q56" s="75">
        <f t="shared" si="19"/>
        <v>0</v>
      </c>
      <c r="R56" s="75">
        <f t="shared" si="19"/>
        <v>0</v>
      </c>
      <c r="S56" s="75">
        <f t="shared" si="19"/>
        <v>0</v>
      </c>
      <c r="T56" s="75">
        <f t="shared" si="19"/>
        <v>0</v>
      </c>
      <c r="U56" s="75">
        <f t="shared" si="19"/>
        <v>18203</v>
      </c>
      <c r="V56" s="75">
        <f t="shared" si="19"/>
        <v>204666</v>
      </c>
    </row>
    <row r="57" spans="1:22" s="2" customFormat="1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6" t="s">
        <v>213</v>
      </c>
      <c r="P57" s="96"/>
      <c r="Q57" s="96"/>
      <c r="R57" s="96"/>
      <c r="S57" s="97"/>
      <c r="T57" s="97"/>
      <c r="U57" s="98"/>
      <c r="V57" s="98"/>
    </row>
    <row r="58" spans="1:22" s="2" customForma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</row>
    <row r="59" spans="1:22" s="2" customFormat="1"/>
  </sheetData>
  <mergeCells count="50">
    <mergeCell ref="U47:U49"/>
    <mergeCell ref="V47:V49"/>
    <mergeCell ref="M48:M49"/>
    <mergeCell ref="N48:N49"/>
    <mergeCell ref="O48:Q48"/>
    <mergeCell ref="R48:R49"/>
    <mergeCell ref="S48:S49"/>
    <mergeCell ref="T48:T49"/>
    <mergeCell ref="L47:L49"/>
    <mergeCell ref="E34:L34"/>
    <mergeCell ref="E35:M35"/>
    <mergeCell ref="E36:M36"/>
    <mergeCell ref="E37:M37"/>
    <mergeCell ref="F47:F49"/>
    <mergeCell ref="G47:G49"/>
    <mergeCell ref="H47:H49"/>
    <mergeCell ref="I47:I49"/>
    <mergeCell ref="J47:J49"/>
    <mergeCell ref="K47:K49"/>
    <mergeCell ref="M47:T47"/>
    <mergeCell ref="A47:A49"/>
    <mergeCell ref="B47:B49"/>
    <mergeCell ref="C47:C49"/>
    <mergeCell ref="D47:D49"/>
    <mergeCell ref="E47:E49"/>
    <mergeCell ref="U17:U19"/>
    <mergeCell ref="V17:V19"/>
    <mergeCell ref="M18:M19"/>
    <mergeCell ref="N18:N19"/>
    <mergeCell ref="O18:Q18"/>
    <mergeCell ref="R18:R19"/>
    <mergeCell ref="S18:S19"/>
    <mergeCell ref="T18:T19"/>
    <mergeCell ref="L17:L19"/>
    <mergeCell ref="E4:L4"/>
    <mergeCell ref="E5:M5"/>
    <mergeCell ref="E6:M6"/>
    <mergeCell ref="E7:M7"/>
    <mergeCell ref="F17:F19"/>
    <mergeCell ref="G17:G19"/>
    <mergeCell ref="H17:H19"/>
    <mergeCell ref="I17:I19"/>
    <mergeCell ref="J17:J19"/>
    <mergeCell ref="K17:K19"/>
    <mergeCell ref="M17:T17"/>
    <mergeCell ref="A17:A19"/>
    <mergeCell ref="B17:B19"/>
    <mergeCell ref="C17:C19"/>
    <mergeCell ref="D17:D19"/>
    <mergeCell ref="E17:E19"/>
  </mergeCells>
  <pageMargins left="0" right="0" top="0.98425196850393704" bottom="0.98425196850393704" header="0.51181102362204722" footer="0.51181102362204722"/>
  <pageSetup paperSize="9" scale="54" orientation="landscape" r:id="rId1"/>
  <headerFooter alignWithMargins="0"/>
  <rowBreaks count="1" manualBreakCount="1">
    <brk id="30" max="16383" man="1"/>
  </rowBreaks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M257"/>
  <sheetViews>
    <sheetView view="pageBreakPreview" zoomScale="80" zoomScaleNormal="98" zoomScaleSheetLayoutView="80" workbookViewId="0">
      <selection activeCell="B41" sqref="B41:B44"/>
    </sheetView>
  </sheetViews>
  <sheetFormatPr defaultRowHeight="12.75"/>
  <cols>
    <col min="1" max="1" width="3.140625" style="3" customWidth="1"/>
    <col min="2" max="2" width="19.7109375" style="3" customWidth="1"/>
    <col min="3" max="3" width="25.42578125" style="3" customWidth="1"/>
    <col min="4" max="4" width="9.42578125" style="3" customWidth="1"/>
    <col min="5" max="5" width="30.28515625" style="3" customWidth="1"/>
    <col min="6" max="6" width="12.42578125" style="15" customWidth="1"/>
    <col min="7" max="7" width="9.140625" style="3" customWidth="1"/>
    <col min="8" max="8" width="10.7109375" style="3" customWidth="1"/>
    <col min="9" max="9" width="14.7109375" style="3" customWidth="1"/>
    <col min="10" max="10" width="10" style="3" customWidth="1"/>
    <col min="11" max="11" width="7.85546875" style="3" customWidth="1"/>
    <col min="12" max="12" width="9.85546875" style="3" customWidth="1"/>
    <col min="13" max="14" width="9.140625" style="3"/>
    <col min="15" max="16" width="8.5703125" style="3" customWidth="1"/>
    <col min="17" max="17" width="10" style="3" bestFit="1" customWidth="1"/>
    <col min="18" max="18" width="8.140625" style="3" customWidth="1"/>
    <col min="19" max="20" width="6.85546875" style="3" customWidth="1"/>
    <col min="21" max="21" width="10" style="3" bestFit="1" customWidth="1"/>
    <col min="22" max="22" width="10.7109375" style="16" customWidth="1"/>
    <col min="23" max="90" width="9.140625" style="14"/>
    <col min="91" max="16384" width="9.140625" style="3"/>
  </cols>
  <sheetData>
    <row r="1" spans="1:90" s="2" customFormat="1">
      <c r="A1" s="351" t="s">
        <v>0</v>
      </c>
      <c r="B1" s="351"/>
      <c r="C1" s="351"/>
      <c r="D1" s="351"/>
      <c r="E1" s="126"/>
      <c r="F1" s="126"/>
      <c r="G1" s="126"/>
      <c r="H1" s="126"/>
      <c r="I1" s="126"/>
      <c r="J1" s="126"/>
      <c r="K1" s="126"/>
      <c r="L1" s="126"/>
      <c r="M1" s="126"/>
      <c r="N1" s="351" t="s">
        <v>1</v>
      </c>
      <c r="O1" s="351"/>
      <c r="P1" s="351"/>
      <c r="Q1" s="351"/>
      <c r="R1" s="351"/>
      <c r="S1" s="351"/>
      <c r="T1" s="351"/>
      <c r="U1" s="126"/>
      <c r="V1" s="350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</row>
    <row r="2" spans="1:90">
      <c r="A2" s="351" t="s">
        <v>2</v>
      </c>
      <c r="B2" s="351"/>
      <c r="C2" s="351"/>
      <c r="D2" s="351"/>
      <c r="E2" s="126"/>
      <c r="F2" s="126"/>
      <c r="G2" s="126"/>
      <c r="H2" s="126"/>
      <c r="I2" s="126"/>
      <c r="J2" s="126"/>
      <c r="K2" s="126"/>
      <c r="L2" s="126"/>
      <c r="M2" s="126"/>
      <c r="N2" s="351" t="s">
        <v>3</v>
      </c>
      <c r="O2" s="351"/>
      <c r="P2" s="351"/>
      <c r="Q2" s="351"/>
      <c r="R2" s="351"/>
      <c r="S2" s="351"/>
      <c r="T2" s="351"/>
      <c r="U2" s="126"/>
      <c r="V2" s="350"/>
    </row>
    <row r="3" spans="1:90">
      <c r="A3" s="351"/>
      <c r="B3" s="351"/>
      <c r="C3" s="351"/>
      <c r="D3" s="351"/>
      <c r="E3" s="126"/>
      <c r="F3" s="126"/>
      <c r="G3" s="126"/>
      <c r="H3" s="126"/>
      <c r="I3" s="126"/>
      <c r="J3" s="126"/>
      <c r="K3" s="126"/>
      <c r="L3" s="126"/>
      <c r="M3" s="126"/>
      <c r="N3" s="352" t="s">
        <v>4</v>
      </c>
      <c r="O3" s="352"/>
      <c r="P3" s="352"/>
      <c r="Q3" s="352"/>
      <c r="R3" s="352"/>
      <c r="S3" s="352"/>
      <c r="T3" s="352"/>
      <c r="U3" s="126"/>
      <c r="V3" s="350"/>
    </row>
    <row r="4" spans="1:90">
      <c r="A4" s="351" t="s">
        <v>5</v>
      </c>
      <c r="B4" s="351"/>
      <c r="C4" s="351" t="s">
        <v>6</v>
      </c>
      <c r="D4" s="351"/>
      <c r="E4" s="473" t="s">
        <v>183</v>
      </c>
      <c r="F4" s="473"/>
      <c r="G4" s="473"/>
      <c r="H4" s="473"/>
      <c r="I4" s="473"/>
      <c r="J4" s="473"/>
      <c r="K4" s="473"/>
      <c r="L4" s="473"/>
      <c r="M4" s="126"/>
      <c r="N4" s="351" t="s">
        <v>139</v>
      </c>
      <c r="O4" s="351"/>
      <c r="P4" s="351"/>
      <c r="Q4" s="351"/>
      <c r="R4" s="351"/>
      <c r="S4" s="351"/>
      <c r="T4" s="351"/>
      <c r="U4" s="126"/>
      <c r="V4" s="350"/>
    </row>
    <row r="5" spans="1:90">
      <c r="A5" s="351"/>
      <c r="B5" s="351"/>
      <c r="C5" s="351"/>
      <c r="D5" s="351"/>
      <c r="E5" s="463" t="s">
        <v>184</v>
      </c>
      <c r="F5" s="463"/>
      <c r="G5" s="463"/>
      <c r="H5" s="463"/>
      <c r="I5" s="463"/>
      <c r="J5" s="463"/>
      <c r="K5" s="463"/>
      <c r="L5" s="463"/>
      <c r="M5" s="463"/>
      <c r="N5" s="126"/>
      <c r="O5" s="126"/>
      <c r="P5" s="126"/>
      <c r="Q5" s="126"/>
      <c r="R5" s="126"/>
      <c r="S5" s="126"/>
      <c r="T5" s="126"/>
      <c r="U5" s="126"/>
      <c r="V5" s="350"/>
    </row>
    <row r="6" spans="1:90">
      <c r="A6" s="126"/>
      <c r="B6" s="126"/>
      <c r="C6" s="126"/>
      <c r="D6" s="126"/>
      <c r="E6" s="464" t="s">
        <v>219</v>
      </c>
      <c r="F6" s="464"/>
      <c r="G6" s="464"/>
      <c r="H6" s="464"/>
      <c r="I6" s="464"/>
      <c r="J6" s="464"/>
      <c r="K6" s="464"/>
      <c r="L6" s="464"/>
      <c r="M6" s="464"/>
      <c r="N6" s="126"/>
      <c r="O6" s="126"/>
      <c r="P6" s="126"/>
      <c r="Q6" s="126"/>
      <c r="R6" s="126"/>
      <c r="S6" s="126"/>
      <c r="T6" s="126"/>
      <c r="U6" s="126"/>
      <c r="V6" s="350"/>
    </row>
    <row r="7" spans="1:90">
      <c r="A7" s="126"/>
      <c r="B7" s="126"/>
      <c r="C7" s="126"/>
      <c r="D7" s="126"/>
      <c r="E7" s="464" t="s">
        <v>7</v>
      </c>
      <c r="F7" s="464"/>
      <c r="G7" s="464"/>
      <c r="H7" s="464"/>
      <c r="I7" s="464"/>
      <c r="J7" s="464"/>
      <c r="K7" s="464"/>
      <c r="L7" s="464"/>
      <c r="M7" s="464"/>
      <c r="N7" s="126"/>
      <c r="O7" s="126"/>
      <c r="P7" s="126"/>
      <c r="Q7" s="126"/>
      <c r="R7" s="126"/>
      <c r="S7" s="126"/>
      <c r="T7" s="126"/>
      <c r="U7" s="126"/>
      <c r="V7" s="350"/>
    </row>
    <row r="8" spans="1:90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 t="s">
        <v>185</v>
      </c>
      <c r="R8" s="126"/>
      <c r="S8" s="126"/>
      <c r="T8" s="126"/>
      <c r="U8" s="126"/>
      <c r="V8" s="350"/>
    </row>
    <row r="9" spans="1:90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 t="s">
        <v>265</v>
      </c>
      <c r="R9" s="126"/>
      <c r="S9" s="126"/>
      <c r="T9" s="126"/>
      <c r="U9" s="126"/>
      <c r="V9" s="350"/>
    </row>
    <row r="10" spans="1:90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 t="s">
        <v>186</v>
      </c>
      <c r="R10" s="126"/>
      <c r="S10" s="126"/>
      <c r="T10" s="126" t="s">
        <v>187</v>
      </c>
      <c r="U10" s="126"/>
      <c r="V10" s="350"/>
    </row>
    <row r="11" spans="1:90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 t="s">
        <v>188</v>
      </c>
      <c r="R11" s="126"/>
      <c r="S11" s="126"/>
      <c r="T11" s="126">
        <v>1</v>
      </c>
      <c r="U11" s="126"/>
      <c r="V11" s="350"/>
    </row>
    <row r="12" spans="1:90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 t="s">
        <v>189</v>
      </c>
      <c r="R12" s="126"/>
      <c r="S12" s="126"/>
      <c r="T12" s="126">
        <v>26</v>
      </c>
      <c r="U12" s="126" t="s">
        <v>190</v>
      </c>
      <c r="V12" s="350"/>
    </row>
    <row r="13" spans="1:90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 t="s">
        <v>191</v>
      </c>
      <c r="R13" s="126"/>
      <c r="S13" s="126"/>
      <c r="T13" s="126">
        <v>0</v>
      </c>
      <c r="U13" s="126">
        <f>T13*100/T12</f>
        <v>0</v>
      </c>
      <c r="V13" s="350" t="s">
        <v>17</v>
      </c>
    </row>
    <row r="14" spans="1:90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 t="s">
        <v>192</v>
      </c>
      <c r="R14" s="126"/>
      <c r="S14" s="126"/>
      <c r="T14" s="126">
        <v>26</v>
      </c>
      <c r="U14" s="126">
        <f>T14*100/T12</f>
        <v>100</v>
      </c>
      <c r="V14" s="350" t="s">
        <v>17</v>
      </c>
    </row>
    <row r="15" spans="1:90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 t="s">
        <v>193</v>
      </c>
      <c r="R15" s="126"/>
      <c r="S15" s="126"/>
      <c r="T15" s="353">
        <f>K45</f>
        <v>203.4</v>
      </c>
      <c r="U15" s="126"/>
      <c r="V15" s="350"/>
    </row>
    <row r="16" spans="1:90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350"/>
    </row>
    <row r="17" spans="1:90">
      <c r="A17" s="126"/>
      <c r="B17" s="126" t="s">
        <v>241</v>
      </c>
      <c r="C17" s="126" t="s">
        <v>194</v>
      </c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350"/>
    </row>
    <row r="18" spans="1:90" s="4" customFormat="1">
      <c r="A18" s="475" t="s">
        <v>195</v>
      </c>
      <c r="B18" s="475" t="s">
        <v>196</v>
      </c>
      <c r="C18" s="475" t="s">
        <v>197</v>
      </c>
      <c r="D18" s="475" t="s">
        <v>198</v>
      </c>
      <c r="E18" s="475" t="s">
        <v>10</v>
      </c>
      <c r="F18" s="475" t="s">
        <v>199</v>
      </c>
      <c r="G18" s="475" t="s">
        <v>200</v>
      </c>
      <c r="H18" s="475" t="s">
        <v>201</v>
      </c>
      <c r="I18" s="475" t="s">
        <v>202</v>
      </c>
      <c r="J18" s="475" t="s">
        <v>11</v>
      </c>
      <c r="K18" s="475" t="s">
        <v>203</v>
      </c>
      <c r="L18" s="475" t="s">
        <v>12</v>
      </c>
      <c r="M18" s="474" t="s">
        <v>204</v>
      </c>
      <c r="N18" s="474"/>
      <c r="O18" s="474"/>
      <c r="P18" s="474"/>
      <c r="Q18" s="474"/>
      <c r="R18" s="474"/>
      <c r="S18" s="474"/>
      <c r="T18" s="474"/>
      <c r="U18" s="475" t="s">
        <v>205</v>
      </c>
      <c r="V18" s="478" t="s">
        <v>206</v>
      </c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</row>
    <row r="19" spans="1:90" s="4" customFormat="1">
      <c r="A19" s="476"/>
      <c r="B19" s="476"/>
      <c r="C19" s="476"/>
      <c r="D19" s="476"/>
      <c r="E19" s="476"/>
      <c r="F19" s="476"/>
      <c r="G19" s="476"/>
      <c r="H19" s="476"/>
      <c r="I19" s="476"/>
      <c r="J19" s="476"/>
      <c r="K19" s="476"/>
      <c r="L19" s="476"/>
      <c r="M19" s="475" t="s">
        <v>207</v>
      </c>
      <c r="N19" s="475" t="s">
        <v>15</v>
      </c>
      <c r="O19" s="474" t="s">
        <v>16</v>
      </c>
      <c r="P19" s="474"/>
      <c r="Q19" s="474"/>
      <c r="R19" s="475"/>
      <c r="S19" s="475"/>
      <c r="T19" s="475"/>
      <c r="U19" s="476"/>
      <c r="V19" s="478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</row>
    <row r="20" spans="1:90" s="4" customFormat="1" ht="36.75" customHeight="1">
      <c r="A20" s="477"/>
      <c r="B20" s="477"/>
      <c r="C20" s="477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354" t="s">
        <v>17</v>
      </c>
      <c r="P20" s="354" t="s">
        <v>18</v>
      </c>
      <c r="Q20" s="354" t="s">
        <v>19</v>
      </c>
      <c r="R20" s="477"/>
      <c r="S20" s="477"/>
      <c r="T20" s="477"/>
      <c r="U20" s="477"/>
      <c r="V20" s="478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</row>
    <row r="21" spans="1:90" s="5" customFormat="1" ht="38.25" customHeight="1">
      <c r="A21" s="102">
        <v>1</v>
      </c>
      <c r="B21" s="79"/>
      <c r="C21" s="86" t="s">
        <v>208</v>
      </c>
      <c r="D21" s="102" t="s">
        <v>51</v>
      </c>
      <c r="E21" s="79" t="s">
        <v>52</v>
      </c>
      <c r="F21" s="79" t="s">
        <v>53</v>
      </c>
      <c r="G21" s="111" t="s">
        <v>148</v>
      </c>
      <c r="H21" s="82" t="s">
        <v>25</v>
      </c>
      <c r="I21" s="74">
        <v>92201</v>
      </c>
      <c r="J21" s="75">
        <f>I21/72</f>
        <v>1280.57</v>
      </c>
      <c r="K21" s="76">
        <v>17</v>
      </c>
      <c r="L21" s="77">
        <f>J21*K21</f>
        <v>21770</v>
      </c>
      <c r="M21" s="102"/>
      <c r="N21" s="102"/>
      <c r="O21" s="102">
        <v>25</v>
      </c>
      <c r="P21" s="102">
        <v>10.199999999999999</v>
      </c>
      <c r="Q21" s="77">
        <f>17697*25%/72*P21</f>
        <v>627</v>
      </c>
      <c r="R21" s="77"/>
      <c r="S21" s="77"/>
      <c r="T21" s="77"/>
      <c r="U21" s="77">
        <f>L21*10%</f>
        <v>2177</v>
      </c>
      <c r="V21" s="77">
        <f>M21+N21+Q21+R21+T21+U21+S21+L21</f>
        <v>24574</v>
      </c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</row>
    <row r="22" spans="1:90" s="5" customFormat="1" ht="109.5" customHeight="1">
      <c r="A22" s="79">
        <v>2</v>
      </c>
      <c r="B22" s="80"/>
      <c r="C22" s="81" t="s">
        <v>55</v>
      </c>
      <c r="D22" s="102" t="s">
        <v>51</v>
      </c>
      <c r="E22" s="80" t="s">
        <v>56</v>
      </c>
      <c r="F22" s="80" t="s">
        <v>57</v>
      </c>
      <c r="G22" s="80" t="s">
        <v>24</v>
      </c>
      <c r="H22" s="82" t="s">
        <v>25</v>
      </c>
      <c r="I22" s="74">
        <v>90609</v>
      </c>
      <c r="J22" s="75">
        <f t="shared" ref="J22:J41" si="0">I22/72</f>
        <v>1258.46</v>
      </c>
      <c r="K22" s="76">
        <v>17</v>
      </c>
      <c r="L22" s="77">
        <f t="shared" ref="L22:L41" si="1">J22*K22</f>
        <v>21394</v>
      </c>
      <c r="M22" s="102"/>
      <c r="N22" s="102"/>
      <c r="O22" s="102">
        <v>25</v>
      </c>
      <c r="P22" s="102">
        <v>10.199999999999999</v>
      </c>
      <c r="Q22" s="77">
        <f t="shared" ref="Q22" si="2">17697*25%/72*P22</f>
        <v>627</v>
      </c>
      <c r="R22" s="102"/>
      <c r="S22" s="102"/>
      <c r="T22" s="77"/>
      <c r="U22" s="77">
        <f>L22*10%</f>
        <v>2139</v>
      </c>
      <c r="V22" s="77">
        <f>M22+N22+Q22+R22+T22+U22+S22+L22</f>
        <v>24160</v>
      </c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</row>
    <row r="23" spans="1:90" s="5" customFormat="1" ht="86.25" customHeight="1">
      <c r="A23" s="102">
        <v>3</v>
      </c>
      <c r="B23" s="80"/>
      <c r="C23" s="81" t="s">
        <v>60</v>
      </c>
      <c r="D23" s="102" t="s">
        <v>51</v>
      </c>
      <c r="E23" s="83" t="s">
        <v>61</v>
      </c>
      <c r="F23" s="80" t="s">
        <v>62</v>
      </c>
      <c r="G23" s="82" t="s">
        <v>156</v>
      </c>
      <c r="H23" s="74" t="s">
        <v>25</v>
      </c>
      <c r="I23" s="82">
        <v>89016</v>
      </c>
      <c r="J23" s="75">
        <f t="shared" si="0"/>
        <v>1236.33</v>
      </c>
      <c r="K23" s="76">
        <v>15.8</v>
      </c>
      <c r="L23" s="77">
        <f t="shared" si="1"/>
        <v>19534</v>
      </c>
      <c r="M23" s="102"/>
      <c r="N23" s="102"/>
      <c r="O23" s="102">
        <v>25</v>
      </c>
      <c r="P23" s="102">
        <v>9.48</v>
      </c>
      <c r="Q23" s="77">
        <f>17697*25%/72*P23</f>
        <v>583</v>
      </c>
      <c r="R23" s="102"/>
      <c r="S23" s="102"/>
      <c r="T23" s="77"/>
      <c r="U23" s="77">
        <f t="shared" ref="U23:U41" si="3">L23*10%</f>
        <v>1953</v>
      </c>
      <c r="V23" s="77">
        <f t="shared" ref="V23:V44" si="4">M23+N23+Q23+R23+T23+U23+S23+L23</f>
        <v>22070</v>
      </c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</row>
    <row r="24" spans="1:90" s="5" customFormat="1" ht="45.75" customHeight="1">
      <c r="A24" s="79">
        <v>4</v>
      </c>
      <c r="B24" s="37"/>
      <c r="C24" s="37" t="s">
        <v>77</v>
      </c>
      <c r="D24" s="102" t="s">
        <v>51</v>
      </c>
      <c r="E24" s="37" t="s">
        <v>228</v>
      </c>
      <c r="F24" s="37" t="s">
        <v>229</v>
      </c>
      <c r="G24" s="36" t="s">
        <v>227</v>
      </c>
      <c r="H24" s="36" t="s">
        <v>25</v>
      </c>
      <c r="I24" s="36">
        <v>85653</v>
      </c>
      <c r="J24" s="75">
        <f t="shared" si="0"/>
        <v>1189.6300000000001</v>
      </c>
      <c r="K24" s="76">
        <v>7.2</v>
      </c>
      <c r="L24" s="77">
        <f t="shared" si="1"/>
        <v>8565</v>
      </c>
      <c r="M24" s="102"/>
      <c r="N24" s="102"/>
      <c r="O24" s="102">
        <v>20</v>
      </c>
      <c r="P24" s="102">
        <v>7.2</v>
      </c>
      <c r="Q24" s="77">
        <f>17697*20%/72*P24</f>
        <v>354</v>
      </c>
      <c r="R24" s="102"/>
      <c r="S24" s="102"/>
      <c r="T24" s="77"/>
      <c r="U24" s="77">
        <f t="shared" si="3"/>
        <v>857</v>
      </c>
      <c r="V24" s="77">
        <f t="shared" si="4"/>
        <v>9776</v>
      </c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</row>
    <row r="25" spans="1:90" s="5" customFormat="1" ht="44.25" customHeight="1">
      <c r="A25" s="102">
        <v>5</v>
      </c>
      <c r="B25" s="80"/>
      <c r="C25" s="81" t="s">
        <v>209</v>
      </c>
      <c r="D25" s="102" t="s">
        <v>51</v>
      </c>
      <c r="E25" s="83" t="s">
        <v>75</v>
      </c>
      <c r="F25" s="80" t="s">
        <v>76</v>
      </c>
      <c r="G25" s="80" t="s">
        <v>152</v>
      </c>
      <c r="H25" s="74" t="s">
        <v>25</v>
      </c>
      <c r="I25" s="82">
        <v>90609</v>
      </c>
      <c r="J25" s="75">
        <f t="shared" si="0"/>
        <v>1258.46</v>
      </c>
      <c r="K25" s="102">
        <v>7.2</v>
      </c>
      <c r="L25" s="77">
        <f t="shared" si="1"/>
        <v>9061</v>
      </c>
      <c r="M25" s="102"/>
      <c r="N25" s="102"/>
      <c r="O25" s="102">
        <v>20</v>
      </c>
      <c r="P25" s="102">
        <v>7.2</v>
      </c>
      <c r="Q25" s="77">
        <f>17697*20%/72*P25</f>
        <v>354</v>
      </c>
      <c r="R25" s="102"/>
      <c r="S25" s="102"/>
      <c r="T25" s="77"/>
      <c r="U25" s="77">
        <f t="shared" si="3"/>
        <v>906</v>
      </c>
      <c r="V25" s="77">
        <f t="shared" si="4"/>
        <v>10321</v>
      </c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</row>
    <row r="26" spans="1:90" s="5" customFormat="1" ht="28.5" hidden="1" customHeight="1">
      <c r="A26" s="79">
        <v>6</v>
      </c>
      <c r="B26" s="89"/>
      <c r="C26" s="89"/>
      <c r="D26" s="102" t="s">
        <v>51</v>
      </c>
      <c r="E26" s="89"/>
      <c r="F26" s="89"/>
      <c r="G26" s="89"/>
      <c r="H26" s="86"/>
      <c r="I26" s="94"/>
      <c r="J26" s="75"/>
      <c r="K26" s="76"/>
      <c r="L26" s="77"/>
      <c r="M26" s="102"/>
      <c r="N26" s="102"/>
      <c r="O26" s="102"/>
      <c r="P26" s="102"/>
      <c r="Q26" s="77"/>
      <c r="R26" s="102"/>
      <c r="S26" s="102"/>
      <c r="T26" s="77"/>
      <c r="U26" s="77"/>
      <c r="V26" s="77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</row>
    <row r="27" spans="1:90" s="5" customFormat="1" ht="25.5" hidden="1" customHeight="1">
      <c r="A27" s="102">
        <v>7</v>
      </c>
      <c r="B27" s="89"/>
      <c r="C27" s="89"/>
      <c r="D27" s="102" t="s">
        <v>51</v>
      </c>
      <c r="E27" s="89"/>
      <c r="F27" s="89"/>
      <c r="G27" s="89"/>
      <c r="H27" s="86"/>
      <c r="I27" s="94"/>
      <c r="J27" s="75"/>
      <c r="K27" s="76"/>
      <c r="L27" s="77"/>
      <c r="M27" s="102"/>
      <c r="N27" s="102"/>
      <c r="O27" s="102"/>
      <c r="P27" s="102"/>
      <c r="Q27" s="77"/>
      <c r="R27" s="102"/>
      <c r="S27" s="102"/>
      <c r="T27" s="77"/>
      <c r="U27" s="77"/>
      <c r="V27" s="77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</row>
    <row r="28" spans="1:90" s="5" customFormat="1" ht="45.75" customHeight="1">
      <c r="A28" s="79">
        <v>8</v>
      </c>
      <c r="B28" s="73"/>
      <c r="C28" s="85" t="s">
        <v>212</v>
      </c>
      <c r="D28" s="102" t="s">
        <v>51</v>
      </c>
      <c r="E28" s="73" t="s">
        <v>68</v>
      </c>
      <c r="F28" s="73" t="s">
        <v>69</v>
      </c>
      <c r="G28" s="73" t="s">
        <v>151</v>
      </c>
      <c r="H28" s="74" t="s">
        <v>25</v>
      </c>
      <c r="I28" s="74">
        <v>93971</v>
      </c>
      <c r="J28" s="75">
        <f t="shared" si="0"/>
        <v>1305.1500000000001</v>
      </c>
      <c r="K28" s="76">
        <v>9</v>
      </c>
      <c r="L28" s="77">
        <f t="shared" si="1"/>
        <v>11746</v>
      </c>
      <c r="M28" s="102"/>
      <c r="N28" s="102"/>
      <c r="O28" s="102"/>
      <c r="P28" s="102"/>
      <c r="Q28" s="77"/>
      <c r="R28" s="102"/>
      <c r="S28" s="102"/>
      <c r="T28" s="77"/>
      <c r="U28" s="77">
        <f t="shared" si="3"/>
        <v>1175</v>
      </c>
      <c r="V28" s="77">
        <f t="shared" si="4"/>
        <v>12921</v>
      </c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</row>
    <row r="29" spans="1:90" s="5" customFormat="1" ht="31.5" customHeight="1">
      <c r="A29" s="102">
        <v>9</v>
      </c>
      <c r="B29" s="37"/>
      <c r="C29" s="37" t="s">
        <v>224</v>
      </c>
      <c r="D29" s="102" t="s">
        <v>51</v>
      </c>
      <c r="E29" s="37" t="s">
        <v>220</v>
      </c>
      <c r="F29" s="37" t="s">
        <v>221</v>
      </c>
      <c r="G29" s="37" t="s">
        <v>146</v>
      </c>
      <c r="H29" s="86" t="s">
        <v>25</v>
      </c>
      <c r="I29" s="94">
        <v>80875</v>
      </c>
      <c r="J29" s="75">
        <f t="shared" si="0"/>
        <v>1123.26</v>
      </c>
      <c r="K29" s="76">
        <f>3.8+7.2</f>
        <v>11</v>
      </c>
      <c r="L29" s="77">
        <f t="shared" si="1"/>
        <v>12356</v>
      </c>
      <c r="M29" s="102"/>
      <c r="N29" s="102"/>
      <c r="O29" s="102"/>
      <c r="P29" s="76"/>
      <c r="Q29" s="77"/>
      <c r="R29" s="102"/>
      <c r="S29" s="102"/>
      <c r="T29" s="77"/>
      <c r="U29" s="77">
        <f t="shared" si="3"/>
        <v>1236</v>
      </c>
      <c r="V29" s="77">
        <f t="shared" si="4"/>
        <v>13592</v>
      </c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</row>
    <row r="30" spans="1:90" s="5" customFormat="1" ht="36" customHeight="1">
      <c r="A30" s="79">
        <v>10</v>
      </c>
      <c r="B30" s="73"/>
      <c r="C30" s="85" t="s">
        <v>117</v>
      </c>
      <c r="D30" s="102" t="s">
        <v>51</v>
      </c>
      <c r="E30" s="73" t="s">
        <v>111</v>
      </c>
      <c r="F30" s="73" t="s">
        <v>118</v>
      </c>
      <c r="G30" s="73" t="s">
        <v>171</v>
      </c>
      <c r="H30" s="74" t="s">
        <v>25</v>
      </c>
      <c r="I30" s="74">
        <v>92201</v>
      </c>
      <c r="J30" s="75">
        <f t="shared" si="0"/>
        <v>1280.57</v>
      </c>
      <c r="K30" s="102">
        <v>15.6</v>
      </c>
      <c r="L30" s="77">
        <f t="shared" si="1"/>
        <v>19977</v>
      </c>
      <c r="M30" s="102"/>
      <c r="N30" s="102"/>
      <c r="O30" s="102">
        <v>20</v>
      </c>
      <c r="P30" s="102">
        <v>15.6</v>
      </c>
      <c r="Q30" s="77">
        <f t="shared" ref="Q30:Q39" si="5">17697*20%/72*P30</f>
        <v>767</v>
      </c>
      <c r="R30" s="102"/>
      <c r="S30" s="102"/>
      <c r="T30" s="77"/>
      <c r="U30" s="77">
        <f t="shared" si="3"/>
        <v>1998</v>
      </c>
      <c r="V30" s="77">
        <f t="shared" si="4"/>
        <v>22742</v>
      </c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</row>
    <row r="31" spans="1:90" s="5" customFormat="1" ht="41.25" customHeight="1">
      <c r="A31" s="102">
        <v>11</v>
      </c>
      <c r="B31" s="37"/>
      <c r="C31" s="85" t="s">
        <v>33</v>
      </c>
      <c r="D31" s="102" t="s">
        <v>51</v>
      </c>
      <c r="E31" s="37" t="s">
        <v>34</v>
      </c>
      <c r="F31" s="37" t="s">
        <v>35</v>
      </c>
      <c r="G31" s="82" t="s">
        <v>141</v>
      </c>
      <c r="H31" s="82" t="s">
        <v>25</v>
      </c>
      <c r="I31" s="82">
        <v>85653</v>
      </c>
      <c r="J31" s="75">
        <f t="shared" si="0"/>
        <v>1189.6300000000001</v>
      </c>
      <c r="K31" s="76">
        <v>7.6</v>
      </c>
      <c r="L31" s="77">
        <f t="shared" si="1"/>
        <v>9041</v>
      </c>
      <c r="M31" s="102"/>
      <c r="N31" s="102"/>
      <c r="O31" s="102"/>
      <c r="P31" s="102"/>
      <c r="Q31" s="77">
        <f t="shared" si="5"/>
        <v>0</v>
      </c>
      <c r="R31" s="102"/>
      <c r="S31" s="102"/>
      <c r="T31" s="77"/>
      <c r="U31" s="77">
        <f t="shared" si="3"/>
        <v>904</v>
      </c>
      <c r="V31" s="77">
        <f t="shared" si="4"/>
        <v>9945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</row>
    <row r="32" spans="1:90" s="5" customFormat="1" ht="51.75" customHeight="1">
      <c r="A32" s="79">
        <v>12</v>
      </c>
      <c r="B32" s="94"/>
      <c r="C32" s="94" t="s">
        <v>210</v>
      </c>
      <c r="D32" s="102" t="s">
        <v>51</v>
      </c>
      <c r="E32" s="94" t="s">
        <v>225</v>
      </c>
      <c r="F32" s="94" t="s">
        <v>226</v>
      </c>
      <c r="G32" s="108" t="s">
        <v>147</v>
      </c>
      <c r="H32" s="86" t="s">
        <v>25</v>
      </c>
      <c r="I32" s="94">
        <v>89016</v>
      </c>
      <c r="J32" s="109">
        <f t="shared" si="0"/>
        <v>1236.33</v>
      </c>
      <c r="K32" s="76">
        <v>3.8</v>
      </c>
      <c r="L32" s="77">
        <f t="shared" si="1"/>
        <v>4698</v>
      </c>
      <c r="M32" s="102"/>
      <c r="N32" s="102"/>
      <c r="O32" s="102"/>
      <c r="P32" s="102"/>
      <c r="Q32" s="77">
        <f t="shared" si="5"/>
        <v>0</v>
      </c>
      <c r="R32" s="102"/>
      <c r="S32" s="102"/>
      <c r="T32" s="77"/>
      <c r="U32" s="77">
        <f t="shared" si="3"/>
        <v>470</v>
      </c>
      <c r="V32" s="77">
        <f t="shared" si="4"/>
        <v>5168</v>
      </c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</row>
    <row r="33" spans="1:91" s="179" customFormat="1" ht="30.75" customHeight="1">
      <c r="A33" s="102">
        <v>13</v>
      </c>
      <c r="B33" s="83"/>
      <c r="C33" s="80" t="s">
        <v>110</v>
      </c>
      <c r="D33" s="102" t="s">
        <v>51</v>
      </c>
      <c r="E33" s="80" t="s">
        <v>111</v>
      </c>
      <c r="F33" s="80" t="s">
        <v>112</v>
      </c>
      <c r="G33" s="80" t="s">
        <v>169</v>
      </c>
      <c r="H33" s="82" t="s">
        <v>25</v>
      </c>
      <c r="I33" s="82">
        <v>92201</v>
      </c>
      <c r="J33" s="75">
        <f t="shared" si="0"/>
        <v>1280.57</v>
      </c>
      <c r="K33" s="102">
        <v>14.6</v>
      </c>
      <c r="L33" s="77">
        <f t="shared" si="1"/>
        <v>18696</v>
      </c>
      <c r="M33" s="102"/>
      <c r="N33" s="102"/>
      <c r="O33" s="102">
        <v>20</v>
      </c>
      <c r="P33" s="102">
        <v>14.6</v>
      </c>
      <c r="Q33" s="77">
        <f t="shared" si="5"/>
        <v>718</v>
      </c>
      <c r="R33" s="102"/>
      <c r="S33" s="102"/>
      <c r="T33" s="77"/>
      <c r="U33" s="77">
        <f t="shared" si="3"/>
        <v>1870</v>
      </c>
      <c r="V33" s="77">
        <f t="shared" si="4"/>
        <v>21284</v>
      </c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</row>
    <row r="34" spans="1:91" s="5" customFormat="1" ht="43.5" customHeight="1">
      <c r="A34" s="79">
        <v>14</v>
      </c>
      <c r="B34" s="80"/>
      <c r="C34" s="81" t="s">
        <v>239</v>
      </c>
      <c r="D34" s="102" t="s">
        <v>51</v>
      </c>
      <c r="E34" s="37" t="s">
        <v>90</v>
      </c>
      <c r="F34" s="80" t="s">
        <v>91</v>
      </c>
      <c r="G34" s="80" t="s">
        <v>162</v>
      </c>
      <c r="H34" s="74" t="s">
        <v>25</v>
      </c>
      <c r="I34" s="82">
        <v>92201</v>
      </c>
      <c r="J34" s="106">
        <f t="shared" si="0"/>
        <v>1280.57</v>
      </c>
      <c r="K34" s="76">
        <f>11.6+5.4</f>
        <v>17</v>
      </c>
      <c r="L34" s="77">
        <f t="shared" si="1"/>
        <v>21770</v>
      </c>
      <c r="M34" s="102"/>
      <c r="N34" s="102"/>
      <c r="O34" s="102">
        <v>20</v>
      </c>
      <c r="P34" s="102">
        <v>11.6</v>
      </c>
      <c r="Q34" s="77">
        <f t="shared" si="5"/>
        <v>570</v>
      </c>
      <c r="R34" s="102"/>
      <c r="S34" s="102"/>
      <c r="T34" s="77"/>
      <c r="U34" s="77">
        <f t="shared" si="3"/>
        <v>2177</v>
      </c>
      <c r="V34" s="77">
        <f t="shared" si="4"/>
        <v>24517</v>
      </c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</row>
    <row r="35" spans="1:91" s="5" customFormat="1" ht="42" customHeight="1">
      <c r="A35" s="102">
        <v>15</v>
      </c>
      <c r="B35" s="37"/>
      <c r="C35" s="80" t="s">
        <v>240</v>
      </c>
      <c r="D35" s="102" t="s">
        <v>51</v>
      </c>
      <c r="E35" s="80" t="s">
        <v>63</v>
      </c>
      <c r="F35" s="80" t="s">
        <v>64</v>
      </c>
      <c r="G35" s="80" t="s">
        <v>157</v>
      </c>
      <c r="H35" s="82" t="s">
        <v>25</v>
      </c>
      <c r="I35" s="82">
        <v>90609</v>
      </c>
      <c r="J35" s="75">
        <f t="shared" si="0"/>
        <v>1258.46</v>
      </c>
      <c r="K35" s="76">
        <v>3.6</v>
      </c>
      <c r="L35" s="77">
        <f t="shared" si="1"/>
        <v>4530</v>
      </c>
      <c r="M35" s="102"/>
      <c r="N35" s="102"/>
      <c r="O35" s="102"/>
      <c r="P35" s="102"/>
      <c r="Q35" s="77">
        <f t="shared" si="5"/>
        <v>0</v>
      </c>
      <c r="R35" s="102"/>
      <c r="S35" s="102"/>
      <c r="T35" s="77"/>
      <c r="U35" s="77">
        <f t="shared" si="3"/>
        <v>453</v>
      </c>
      <c r="V35" s="77">
        <f t="shared" si="4"/>
        <v>4983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</row>
    <row r="36" spans="1:91" s="5" customFormat="1" ht="51">
      <c r="A36" s="79">
        <v>16</v>
      </c>
      <c r="B36" s="37"/>
      <c r="C36" s="81" t="s">
        <v>45</v>
      </c>
      <c r="D36" s="102" t="s">
        <v>51</v>
      </c>
      <c r="E36" s="37" t="s">
        <v>46</v>
      </c>
      <c r="F36" s="80" t="s">
        <v>47</v>
      </c>
      <c r="G36" s="80" t="s">
        <v>178</v>
      </c>
      <c r="H36" s="82" t="s">
        <v>25</v>
      </c>
      <c r="I36" s="82">
        <v>93971</v>
      </c>
      <c r="J36" s="109">
        <f t="shared" si="0"/>
        <v>1305.1500000000001</v>
      </c>
      <c r="K36" s="325">
        <v>5</v>
      </c>
      <c r="L36" s="110">
        <f t="shared" si="1"/>
        <v>6526</v>
      </c>
      <c r="M36" s="101"/>
      <c r="N36" s="101"/>
      <c r="O36" s="101"/>
      <c r="P36" s="101"/>
      <c r="Q36" s="110">
        <f t="shared" si="5"/>
        <v>0</v>
      </c>
      <c r="R36" s="101"/>
      <c r="S36" s="101"/>
      <c r="T36" s="110"/>
      <c r="U36" s="110">
        <f t="shared" si="3"/>
        <v>653</v>
      </c>
      <c r="V36" s="77">
        <f t="shared" si="4"/>
        <v>7179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</row>
    <row r="37" spans="1:91" s="181" customFormat="1" ht="78" customHeight="1">
      <c r="A37" s="102">
        <v>17</v>
      </c>
      <c r="B37" s="83"/>
      <c r="C37" s="81" t="s">
        <v>131</v>
      </c>
      <c r="D37" s="102" t="s">
        <v>51</v>
      </c>
      <c r="E37" s="80" t="s">
        <v>132</v>
      </c>
      <c r="F37" s="80" t="s">
        <v>133</v>
      </c>
      <c r="G37" s="80" t="s">
        <v>175</v>
      </c>
      <c r="H37" s="74" t="s">
        <v>42</v>
      </c>
      <c r="I37" s="82">
        <v>85653</v>
      </c>
      <c r="J37" s="75">
        <f t="shared" si="0"/>
        <v>1189.6300000000001</v>
      </c>
      <c r="K37" s="76">
        <v>15.2</v>
      </c>
      <c r="L37" s="77">
        <f t="shared" si="1"/>
        <v>18082</v>
      </c>
      <c r="M37" s="102"/>
      <c r="N37" s="102"/>
      <c r="O37" s="102"/>
      <c r="P37" s="102"/>
      <c r="Q37" s="77">
        <f t="shared" si="5"/>
        <v>0</v>
      </c>
      <c r="R37" s="102"/>
      <c r="S37" s="102"/>
      <c r="T37" s="77"/>
      <c r="U37" s="355">
        <f t="shared" si="3"/>
        <v>1808</v>
      </c>
      <c r="V37" s="77">
        <f t="shared" si="4"/>
        <v>19890</v>
      </c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  <c r="CH37" s="178"/>
      <c r="CI37" s="178"/>
      <c r="CJ37" s="178"/>
      <c r="CK37" s="178"/>
      <c r="CL37" s="178"/>
      <c r="CM37" s="180"/>
    </row>
    <row r="38" spans="1:91" s="5" customFormat="1" ht="72.75" customHeight="1">
      <c r="A38" s="79">
        <v>18</v>
      </c>
      <c r="B38" s="80"/>
      <c r="C38" s="360" t="s">
        <v>131</v>
      </c>
      <c r="D38" s="102" t="s">
        <v>51</v>
      </c>
      <c r="E38" s="80" t="s">
        <v>115</v>
      </c>
      <c r="F38" s="80" t="s">
        <v>116</v>
      </c>
      <c r="G38" s="80" t="s">
        <v>89</v>
      </c>
      <c r="H38" s="74" t="s">
        <v>25</v>
      </c>
      <c r="I38" s="82">
        <v>93971</v>
      </c>
      <c r="J38" s="356">
        <f t="shared" si="0"/>
        <v>1305.1500000000001</v>
      </c>
      <c r="K38" s="357">
        <v>11.6</v>
      </c>
      <c r="L38" s="358">
        <f t="shared" si="1"/>
        <v>15140</v>
      </c>
      <c r="M38" s="103"/>
      <c r="N38" s="103"/>
      <c r="O38" s="103"/>
      <c r="P38" s="103"/>
      <c r="Q38" s="358">
        <f t="shared" si="5"/>
        <v>0</v>
      </c>
      <c r="R38" s="103"/>
      <c r="S38" s="103"/>
      <c r="T38" s="358"/>
      <c r="U38" s="359">
        <f t="shared" si="3"/>
        <v>1514</v>
      </c>
      <c r="V38" s="77">
        <f t="shared" si="4"/>
        <v>16654</v>
      </c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</row>
    <row r="39" spans="1:91" s="5" customFormat="1" ht="53.25" customHeight="1">
      <c r="A39" s="102">
        <v>19</v>
      </c>
      <c r="B39" s="37"/>
      <c r="C39" s="37" t="s">
        <v>355</v>
      </c>
      <c r="D39" s="102" t="s">
        <v>51</v>
      </c>
      <c r="E39" s="37" t="s">
        <v>31</v>
      </c>
      <c r="F39" s="37" t="s">
        <v>242</v>
      </c>
      <c r="G39" s="80" t="s">
        <v>145</v>
      </c>
      <c r="H39" s="82" t="s">
        <v>25</v>
      </c>
      <c r="I39" s="82">
        <v>85653</v>
      </c>
      <c r="J39" s="75">
        <f t="shared" si="0"/>
        <v>1189.6300000000001</v>
      </c>
      <c r="K39" s="76">
        <v>3.4</v>
      </c>
      <c r="L39" s="77">
        <f t="shared" si="1"/>
        <v>4045</v>
      </c>
      <c r="M39" s="102"/>
      <c r="N39" s="102"/>
      <c r="O39" s="102"/>
      <c r="P39" s="102"/>
      <c r="Q39" s="77">
        <f t="shared" si="5"/>
        <v>0</v>
      </c>
      <c r="R39" s="102"/>
      <c r="S39" s="102"/>
      <c r="T39" s="77"/>
      <c r="U39" s="77">
        <f t="shared" si="3"/>
        <v>405</v>
      </c>
      <c r="V39" s="77">
        <f t="shared" si="4"/>
        <v>4450</v>
      </c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</row>
    <row r="40" spans="1:91" s="5" customFormat="1" ht="28.5" customHeight="1">
      <c r="A40" s="79">
        <v>20</v>
      </c>
      <c r="B40" s="37"/>
      <c r="C40" s="204" t="s">
        <v>493</v>
      </c>
      <c r="D40" s="102" t="s">
        <v>51</v>
      </c>
      <c r="E40" s="37"/>
      <c r="F40" s="37"/>
      <c r="G40" s="80"/>
      <c r="H40" s="82"/>
      <c r="I40" s="82"/>
      <c r="J40" s="75"/>
      <c r="K40" s="76"/>
      <c r="L40" s="77"/>
      <c r="M40" s="102">
        <v>4424</v>
      </c>
      <c r="N40" s="102"/>
      <c r="O40" s="102"/>
      <c r="P40" s="102"/>
      <c r="Q40" s="77"/>
      <c r="R40" s="102"/>
      <c r="S40" s="102"/>
      <c r="T40" s="77"/>
      <c r="U40" s="77"/>
      <c r="V40" s="77">
        <f t="shared" si="4"/>
        <v>4424</v>
      </c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</row>
    <row r="41" spans="1:91" s="5" customFormat="1" ht="40.5" customHeight="1">
      <c r="A41" s="102">
        <v>21</v>
      </c>
      <c r="B41" s="89"/>
      <c r="C41" s="89" t="s">
        <v>361</v>
      </c>
      <c r="D41" s="102" t="s">
        <v>51</v>
      </c>
      <c r="E41" s="89"/>
      <c r="F41" s="89"/>
      <c r="G41" s="90" t="s">
        <v>138</v>
      </c>
      <c r="H41" s="74" t="s">
        <v>25</v>
      </c>
      <c r="I41" s="36">
        <v>85653</v>
      </c>
      <c r="J41" s="75">
        <f t="shared" si="0"/>
        <v>1189.6300000000001</v>
      </c>
      <c r="K41" s="76">
        <v>2</v>
      </c>
      <c r="L41" s="77">
        <f t="shared" si="1"/>
        <v>2379</v>
      </c>
      <c r="M41" s="102"/>
      <c r="N41" s="102"/>
      <c r="O41" s="102"/>
      <c r="P41" s="102"/>
      <c r="Q41" s="77"/>
      <c r="R41" s="102"/>
      <c r="S41" s="102"/>
      <c r="T41" s="77"/>
      <c r="U41" s="77">
        <f t="shared" si="3"/>
        <v>238</v>
      </c>
      <c r="V41" s="77">
        <f t="shared" si="4"/>
        <v>2617</v>
      </c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</row>
    <row r="42" spans="1:91" s="5" customFormat="1" ht="39" customHeight="1">
      <c r="A42" s="79">
        <v>22</v>
      </c>
      <c r="B42" s="89"/>
      <c r="C42" s="89" t="s">
        <v>251</v>
      </c>
      <c r="D42" s="102" t="s">
        <v>51</v>
      </c>
      <c r="E42" s="89"/>
      <c r="F42" s="89"/>
      <c r="G42" s="89" t="s">
        <v>50</v>
      </c>
      <c r="H42" s="86" t="s">
        <v>25</v>
      </c>
      <c r="I42" s="36">
        <v>85653</v>
      </c>
      <c r="J42" s="75">
        <f>I42/72</f>
        <v>1189.6300000000001</v>
      </c>
      <c r="K42" s="76">
        <v>0.6</v>
      </c>
      <c r="L42" s="77">
        <f>J42*K42</f>
        <v>714</v>
      </c>
      <c r="M42" s="102"/>
      <c r="N42" s="102"/>
      <c r="O42" s="102"/>
      <c r="P42" s="102"/>
      <c r="Q42" s="77"/>
      <c r="R42" s="102"/>
      <c r="S42" s="102"/>
      <c r="T42" s="77"/>
      <c r="U42" s="77">
        <f>L42*10%</f>
        <v>71</v>
      </c>
      <c r="V42" s="77">
        <f t="shared" si="4"/>
        <v>785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</row>
    <row r="43" spans="1:91" s="5" customFormat="1" ht="30.75" customHeight="1">
      <c r="A43" s="102">
        <v>23</v>
      </c>
      <c r="B43" s="89"/>
      <c r="C43" s="89" t="s">
        <v>362</v>
      </c>
      <c r="D43" s="102" t="s">
        <v>51</v>
      </c>
      <c r="E43" s="89"/>
      <c r="F43" s="89"/>
      <c r="G43" s="89" t="s">
        <v>50</v>
      </c>
      <c r="H43" s="86" t="s">
        <v>25</v>
      </c>
      <c r="I43" s="36">
        <v>85653</v>
      </c>
      <c r="J43" s="75">
        <f>I43/72</f>
        <v>1189.6300000000001</v>
      </c>
      <c r="K43" s="76">
        <v>3.8</v>
      </c>
      <c r="L43" s="77">
        <f>J43*K43</f>
        <v>4521</v>
      </c>
      <c r="M43" s="102"/>
      <c r="N43" s="102"/>
      <c r="O43" s="102"/>
      <c r="P43" s="102"/>
      <c r="Q43" s="77"/>
      <c r="R43" s="102"/>
      <c r="S43" s="102"/>
      <c r="T43" s="77"/>
      <c r="U43" s="77">
        <f>L43*10%</f>
        <v>452</v>
      </c>
      <c r="V43" s="77">
        <f t="shared" si="4"/>
        <v>4973</v>
      </c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</row>
    <row r="44" spans="1:91" s="5" customFormat="1" ht="51" customHeight="1">
      <c r="A44" s="73">
        <v>24</v>
      </c>
      <c r="B44" s="37"/>
      <c r="C44" s="93" t="s">
        <v>243</v>
      </c>
      <c r="D44" s="102" t="s">
        <v>51</v>
      </c>
      <c r="E44" s="94"/>
      <c r="F44" s="94"/>
      <c r="G44" s="36" t="s">
        <v>50</v>
      </c>
      <c r="H44" s="82" t="s">
        <v>42</v>
      </c>
      <c r="I44" s="36">
        <v>85653</v>
      </c>
      <c r="J44" s="75">
        <f>I44/72</f>
        <v>1189.6300000000001</v>
      </c>
      <c r="K44" s="102">
        <f>5.4+10</f>
        <v>15.4</v>
      </c>
      <c r="L44" s="77">
        <f>J44*K44</f>
        <v>18320</v>
      </c>
      <c r="M44" s="102"/>
      <c r="N44" s="102"/>
      <c r="O44" s="102"/>
      <c r="P44" s="102"/>
      <c r="Q44" s="77">
        <f>17697*20%/72*P44</f>
        <v>0</v>
      </c>
      <c r="R44" s="102"/>
      <c r="S44" s="102"/>
      <c r="T44" s="77"/>
      <c r="U44" s="77">
        <f>L44*10%</f>
        <v>1832</v>
      </c>
      <c r="V44" s="77">
        <f t="shared" si="4"/>
        <v>20152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</row>
    <row r="45" spans="1:91" s="5" customFormat="1">
      <c r="A45" s="104"/>
      <c r="B45" s="104" t="s">
        <v>8</v>
      </c>
      <c r="C45" s="102"/>
      <c r="D45" s="102"/>
      <c r="E45" s="102"/>
      <c r="F45" s="102"/>
      <c r="G45" s="104"/>
      <c r="H45" s="102"/>
      <c r="I45" s="102"/>
      <c r="J45" s="75"/>
      <c r="K45" s="76">
        <f>SUM(K21:K44)</f>
        <v>203.4</v>
      </c>
      <c r="L45" s="76">
        <f t="shared" ref="L45:V45" si="6">SUM(L21:L44)</f>
        <v>252865</v>
      </c>
      <c r="M45" s="76">
        <f t="shared" si="6"/>
        <v>4424</v>
      </c>
      <c r="N45" s="76">
        <f t="shared" si="6"/>
        <v>0</v>
      </c>
      <c r="O45" s="76"/>
      <c r="P45" s="75">
        <f t="shared" si="6"/>
        <v>86.08</v>
      </c>
      <c r="Q45" s="76">
        <f t="shared" si="6"/>
        <v>4600</v>
      </c>
      <c r="R45" s="76">
        <f t="shared" si="6"/>
        <v>0</v>
      </c>
      <c r="S45" s="76">
        <f t="shared" si="6"/>
        <v>0</v>
      </c>
      <c r="T45" s="76">
        <f t="shared" si="6"/>
        <v>0</v>
      </c>
      <c r="U45" s="76">
        <f t="shared" si="6"/>
        <v>25288</v>
      </c>
      <c r="V45" s="76">
        <f t="shared" si="6"/>
        <v>287177</v>
      </c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</row>
    <row r="46" spans="1:91" s="5" customFormat="1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 t="s">
        <v>213</v>
      </c>
      <c r="P46" s="96"/>
      <c r="Q46" s="96"/>
      <c r="R46" s="96"/>
      <c r="S46" s="97"/>
      <c r="T46" s="97"/>
      <c r="U46" s="98"/>
      <c r="V46" s="98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</row>
    <row r="47" spans="1:91" s="5" customFormat="1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100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</row>
    <row r="48" spans="1:91" s="127" customFormat="1">
      <c r="A48" s="69" t="s">
        <v>0</v>
      </c>
      <c r="B48" s="69"/>
      <c r="C48" s="69"/>
      <c r="D48" s="69"/>
      <c r="E48" s="70"/>
      <c r="F48" s="70"/>
      <c r="G48" s="70"/>
      <c r="H48" s="70"/>
      <c r="I48" s="70"/>
      <c r="J48" s="70"/>
      <c r="K48" s="70"/>
      <c r="L48" s="70"/>
      <c r="M48" s="70"/>
      <c r="N48" s="69" t="s">
        <v>1</v>
      </c>
      <c r="O48" s="69"/>
      <c r="P48" s="69"/>
      <c r="Q48" s="69"/>
      <c r="R48" s="69"/>
      <c r="S48" s="69"/>
      <c r="T48" s="69"/>
      <c r="U48" s="70"/>
      <c r="V48" s="100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128"/>
    </row>
    <row r="49" spans="1:91" s="127" customFormat="1">
      <c r="A49" s="69" t="s">
        <v>2</v>
      </c>
      <c r="B49" s="69"/>
      <c r="C49" s="69"/>
      <c r="D49" s="69"/>
      <c r="E49" s="70"/>
      <c r="F49" s="70"/>
      <c r="G49" s="70"/>
      <c r="H49" s="70"/>
      <c r="I49" s="70"/>
      <c r="J49" s="70"/>
      <c r="K49" s="70"/>
      <c r="L49" s="70"/>
      <c r="M49" s="70"/>
      <c r="N49" s="69" t="s">
        <v>3</v>
      </c>
      <c r="O49" s="69"/>
      <c r="P49" s="69"/>
      <c r="Q49" s="69"/>
      <c r="R49" s="69"/>
      <c r="S49" s="69"/>
      <c r="T49" s="69"/>
      <c r="U49" s="70"/>
      <c r="V49" s="100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128"/>
    </row>
    <row r="50" spans="1:91" s="127" customFormat="1">
      <c r="A50" s="69"/>
      <c r="B50" s="69"/>
      <c r="C50" s="69"/>
      <c r="D50" s="69"/>
      <c r="E50" s="70"/>
      <c r="F50" s="70"/>
      <c r="G50" s="70"/>
      <c r="H50" s="70"/>
      <c r="I50" s="70"/>
      <c r="J50" s="70"/>
      <c r="K50" s="70"/>
      <c r="L50" s="70"/>
      <c r="M50" s="70"/>
      <c r="N50" s="68" t="s">
        <v>4</v>
      </c>
      <c r="O50" s="68"/>
      <c r="P50" s="68"/>
      <c r="Q50" s="68"/>
      <c r="R50" s="68"/>
      <c r="S50" s="68"/>
      <c r="T50" s="68"/>
      <c r="U50" s="70"/>
      <c r="V50" s="100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128"/>
    </row>
    <row r="51" spans="1:91" s="127" customFormat="1">
      <c r="A51" s="69" t="s">
        <v>5</v>
      </c>
      <c r="B51" s="69"/>
      <c r="C51" s="69" t="s">
        <v>6</v>
      </c>
      <c r="D51" s="69"/>
      <c r="E51" s="462" t="s">
        <v>183</v>
      </c>
      <c r="F51" s="462"/>
      <c r="G51" s="462"/>
      <c r="H51" s="462"/>
      <c r="I51" s="462"/>
      <c r="J51" s="462"/>
      <c r="K51" s="462"/>
      <c r="L51" s="462"/>
      <c r="M51" s="70"/>
      <c r="N51" s="69" t="s">
        <v>139</v>
      </c>
      <c r="O51" s="69"/>
      <c r="P51" s="69"/>
      <c r="Q51" s="69"/>
      <c r="R51" s="69"/>
      <c r="S51" s="69"/>
      <c r="T51" s="69"/>
      <c r="U51" s="70"/>
      <c r="V51" s="100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128"/>
    </row>
    <row r="52" spans="1:91" s="127" customFormat="1">
      <c r="A52" s="69"/>
      <c r="B52" s="69"/>
      <c r="C52" s="69"/>
      <c r="D52" s="69"/>
      <c r="E52" s="463" t="s">
        <v>184</v>
      </c>
      <c r="F52" s="463"/>
      <c r="G52" s="463"/>
      <c r="H52" s="463"/>
      <c r="I52" s="463"/>
      <c r="J52" s="463"/>
      <c r="K52" s="463"/>
      <c r="L52" s="463"/>
      <c r="M52" s="463"/>
      <c r="N52" s="70"/>
      <c r="O52" s="70"/>
      <c r="P52" s="70"/>
      <c r="Q52" s="70"/>
      <c r="R52" s="70"/>
      <c r="S52" s="70"/>
      <c r="T52" s="70"/>
      <c r="U52" s="70"/>
      <c r="V52" s="100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128"/>
    </row>
    <row r="53" spans="1:91" s="127" customFormat="1">
      <c r="A53" s="70"/>
      <c r="B53" s="70"/>
      <c r="C53" s="70"/>
      <c r="D53" s="70"/>
      <c r="E53" s="464" t="s">
        <v>219</v>
      </c>
      <c r="F53" s="464"/>
      <c r="G53" s="464"/>
      <c r="H53" s="464"/>
      <c r="I53" s="464"/>
      <c r="J53" s="464"/>
      <c r="K53" s="464"/>
      <c r="L53" s="464"/>
      <c r="M53" s="464"/>
      <c r="N53" s="70"/>
      <c r="O53" s="70"/>
      <c r="P53" s="70"/>
      <c r="Q53" s="70"/>
      <c r="R53" s="70"/>
      <c r="S53" s="70"/>
      <c r="T53" s="70"/>
      <c r="U53" s="70"/>
      <c r="V53" s="100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128"/>
    </row>
    <row r="54" spans="1:91" s="127" customFormat="1">
      <c r="A54" s="70"/>
      <c r="B54" s="70"/>
      <c r="C54" s="70"/>
      <c r="D54" s="70"/>
      <c r="E54" s="464" t="s">
        <v>7</v>
      </c>
      <c r="F54" s="464"/>
      <c r="G54" s="464"/>
      <c r="H54" s="464"/>
      <c r="I54" s="464"/>
      <c r="J54" s="464"/>
      <c r="K54" s="464"/>
      <c r="L54" s="464"/>
      <c r="M54" s="464"/>
      <c r="N54" s="70"/>
      <c r="O54" s="70"/>
      <c r="P54" s="70"/>
      <c r="Q54" s="70"/>
      <c r="R54" s="70"/>
      <c r="S54" s="70"/>
      <c r="T54" s="70"/>
      <c r="U54" s="70"/>
      <c r="V54" s="100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128"/>
    </row>
    <row r="55" spans="1:91" s="127" customFormat="1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 t="s">
        <v>185</v>
      </c>
      <c r="R55" s="70"/>
      <c r="S55" s="70"/>
      <c r="T55" s="70"/>
      <c r="U55" s="70"/>
      <c r="V55" s="100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128"/>
    </row>
    <row r="56" spans="1:91" s="127" customForma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 t="s">
        <v>265</v>
      </c>
      <c r="R56" s="70"/>
      <c r="S56" s="70"/>
      <c r="T56" s="70"/>
      <c r="U56" s="70"/>
      <c r="V56" s="100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128"/>
    </row>
    <row r="57" spans="1:91" s="127" customForma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 t="s">
        <v>186</v>
      </c>
      <c r="R57" s="70"/>
      <c r="S57" s="70"/>
      <c r="T57" s="70" t="s">
        <v>187</v>
      </c>
      <c r="U57" s="70"/>
      <c r="V57" s="100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128"/>
    </row>
    <row r="58" spans="1:91" s="127" customForma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 t="s">
        <v>188</v>
      </c>
      <c r="R58" s="70"/>
      <c r="S58" s="70"/>
      <c r="T58" s="70">
        <v>2</v>
      </c>
      <c r="U58" s="70"/>
      <c r="V58" s="100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128"/>
    </row>
    <row r="59" spans="1:91" s="127" customForma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 t="s">
        <v>189</v>
      </c>
      <c r="R59" s="70"/>
      <c r="S59" s="70"/>
      <c r="T59" s="70">
        <v>24</v>
      </c>
      <c r="U59" s="70" t="s">
        <v>190</v>
      </c>
      <c r="V59" s="100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128"/>
    </row>
    <row r="60" spans="1:91" s="127" customForma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 t="s">
        <v>191</v>
      </c>
      <c r="R60" s="70"/>
      <c r="S60" s="70"/>
      <c r="T60" s="70">
        <v>0</v>
      </c>
      <c r="U60" s="70">
        <f>T60*100/T59</f>
        <v>0</v>
      </c>
      <c r="V60" s="100" t="s">
        <v>17</v>
      </c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128"/>
    </row>
    <row r="61" spans="1:91" s="127" customFormat="1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 t="s">
        <v>192</v>
      </c>
      <c r="R61" s="70"/>
      <c r="S61" s="70"/>
      <c r="T61" s="70">
        <v>24</v>
      </c>
      <c r="U61" s="70">
        <f>T61*100/T59</f>
        <v>100</v>
      </c>
      <c r="V61" s="100" t="s">
        <v>17</v>
      </c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128"/>
    </row>
    <row r="62" spans="1:91" s="127" customFormat="1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 t="s">
        <v>193</v>
      </c>
      <c r="R62" s="70"/>
      <c r="S62" s="70"/>
      <c r="T62" s="324">
        <f>K85</f>
        <v>214.6</v>
      </c>
      <c r="U62" s="70"/>
      <c r="V62" s="100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128"/>
    </row>
    <row r="63" spans="1:91" s="127" customForma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100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128"/>
    </row>
    <row r="64" spans="1:91" s="127" customFormat="1">
      <c r="A64" s="70"/>
      <c r="B64" s="70" t="s">
        <v>214</v>
      </c>
      <c r="C64" s="70" t="s">
        <v>194</v>
      </c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100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128"/>
    </row>
    <row r="65" spans="1:91" s="127" customFormat="1">
      <c r="A65" s="459" t="s">
        <v>195</v>
      </c>
      <c r="B65" s="459" t="s">
        <v>196</v>
      </c>
      <c r="C65" s="459" t="s">
        <v>197</v>
      </c>
      <c r="D65" s="459" t="s">
        <v>198</v>
      </c>
      <c r="E65" s="459" t="s">
        <v>10</v>
      </c>
      <c r="F65" s="459" t="s">
        <v>199</v>
      </c>
      <c r="G65" s="459" t="s">
        <v>200</v>
      </c>
      <c r="H65" s="459" t="s">
        <v>201</v>
      </c>
      <c r="I65" s="459" t="s">
        <v>202</v>
      </c>
      <c r="J65" s="459" t="s">
        <v>11</v>
      </c>
      <c r="K65" s="459" t="s">
        <v>203</v>
      </c>
      <c r="L65" s="459" t="s">
        <v>12</v>
      </c>
      <c r="M65" s="458" t="s">
        <v>204</v>
      </c>
      <c r="N65" s="458"/>
      <c r="O65" s="458"/>
      <c r="P65" s="458"/>
      <c r="Q65" s="458"/>
      <c r="R65" s="458"/>
      <c r="S65" s="458"/>
      <c r="T65" s="458"/>
      <c r="U65" s="459" t="s">
        <v>205</v>
      </c>
      <c r="V65" s="479" t="s">
        <v>206</v>
      </c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128"/>
    </row>
    <row r="66" spans="1:91" s="127" customFormat="1">
      <c r="A66" s="460"/>
      <c r="B66" s="460"/>
      <c r="C66" s="460"/>
      <c r="D66" s="460"/>
      <c r="E66" s="460"/>
      <c r="F66" s="460"/>
      <c r="G66" s="460"/>
      <c r="H66" s="460"/>
      <c r="I66" s="460"/>
      <c r="J66" s="460"/>
      <c r="K66" s="460"/>
      <c r="L66" s="460"/>
      <c r="M66" s="459" t="s">
        <v>207</v>
      </c>
      <c r="N66" s="459" t="s">
        <v>15</v>
      </c>
      <c r="O66" s="458" t="s">
        <v>16</v>
      </c>
      <c r="P66" s="458"/>
      <c r="Q66" s="458"/>
      <c r="R66" s="459"/>
      <c r="S66" s="459"/>
      <c r="T66" s="459"/>
      <c r="U66" s="460"/>
      <c r="V66" s="479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128"/>
    </row>
    <row r="67" spans="1:91" s="127" customFormat="1" ht="39.75" customHeight="1">
      <c r="A67" s="461"/>
      <c r="B67" s="461"/>
      <c r="C67" s="461"/>
      <c r="D67" s="461"/>
      <c r="E67" s="461"/>
      <c r="F67" s="461"/>
      <c r="G67" s="461"/>
      <c r="H67" s="461"/>
      <c r="I67" s="461"/>
      <c r="J67" s="461"/>
      <c r="K67" s="461"/>
      <c r="L67" s="461"/>
      <c r="M67" s="461"/>
      <c r="N67" s="461"/>
      <c r="O67" s="71" t="s">
        <v>17</v>
      </c>
      <c r="P67" s="71" t="s">
        <v>18</v>
      </c>
      <c r="Q67" s="71" t="s">
        <v>19</v>
      </c>
      <c r="R67" s="461"/>
      <c r="S67" s="461"/>
      <c r="T67" s="461"/>
      <c r="U67" s="461"/>
      <c r="V67" s="479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128"/>
    </row>
    <row r="68" spans="1:91" s="127" customFormat="1" ht="90" customHeight="1">
      <c r="A68" s="102">
        <v>1</v>
      </c>
      <c r="B68" s="83"/>
      <c r="C68" s="81" t="s">
        <v>415</v>
      </c>
      <c r="D68" s="37" t="s">
        <v>51</v>
      </c>
      <c r="E68" s="335" t="s">
        <v>235</v>
      </c>
      <c r="F68" s="327" t="s">
        <v>236</v>
      </c>
      <c r="G68" s="80" t="s">
        <v>182</v>
      </c>
      <c r="H68" s="82" t="s">
        <v>42</v>
      </c>
      <c r="I68" s="74">
        <v>82468</v>
      </c>
      <c r="J68" s="75">
        <f>I68/72</f>
        <v>1145.3900000000001</v>
      </c>
      <c r="K68" s="76">
        <v>3</v>
      </c>
      <c r="L68" s="77">
        <f>J68*K68</f>
        <v>3436</v>
      </c>
      <c r="M68" s="102"/>
      <c r="N68" s="102"/>
      <c r="O68" s="102">
        <v>25</v>
      </c>
      <c r="P68" s="102">
        <v>1.2</v>
      </c>
      <c r="Q68" s="77">
        <f>17697*25%/72*P68</f>
        <v>74</v>
      </c>
      <c r="R68" s="77"/>
      <c r="S68" s="77"/>
      <c r="T68" s="77"/>
      <c r="U68" s="77">
        <f>L68*10%</f>
        <v>344</v>
      </c>
      <c r="V68" s="77">
        <f>M68+N68+Q68+R68+T68+U68+S68+L68</f>
        <v>3854</v>
      </c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128"/>
    </row>
    <row r="69" spans="1:91" s="127" customFormat="1" ht="50.25" customHeight="1">
      <c r="A69" s="79">
        <v>2</v>
      </c>
      <c r="B69" s="73"/>
      <c r="C69" s="122" t="s">
        <v>28</v>
      </c>
      <c r="D69" s="37" t="s">
        <v>51</v>
      </c>
      <c r="E69" s="73" t="s">
        <v>29</v>
      </c>
      <c r="F69" s="73" t="s">
        <v>30</v>
      </c>
      <c r="G69" s="73" t="s">
        <v>134</v>
      </c>
      <c r="H69" s="74" t="s">
        <v>25</v>
      </c>
      <c r="I69" s="74">
        <v>85653</v>
      </c>
      <c r="J69" s="75">
        <f t="shared" ref="J69:J74" si="7">I69/72</f>
        <v>1189.6300000000001</v>
      </c>
      <c r="K69" s="76">
        <v>5</v>
      </c>
      <c r="L69" s="77">
        <f t="shared" ref="L69:L74" si="8">J69*K69</f>
        <v>5948</v>
      </c>
      <c r="M69" s="102"/>
      <c r="N69" s="102"/>
      <c r="O69" s="102"/>
      <c r="P69" s="102"/>
      <c r="Q69" s="77">
        <f t="shared" ref="Q69" si="9">17697*25%/72*P69</f>
        <v>0</v>
      </c>
      <c r="R69" s="102"/>
      <c r="S69" s="102"/>
      <c r="T69" s="77"/>
      <c r="U69" s="77">
        <f t="shared" ref="U69:U84" si="10">L69*10%</f>
        <v>595</v>
      </c>
      <c r="V69" s="77">
        <f t="shared" ref="V69:V84" si="11">M69+N69+Q69+R69+T69+U69+S69+L69</f>
        <v>6543</v>
      </c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128"/>
    </row>
    <row r="70" spans="1:91" s="127" customFormat="1" ht="97.5" customHeight="1">
      <c r="A70" s="102">
        <v>3</v>
      </c>
      <c r="B70" s="79"/>
      <c r="C70" s="86" t="s">
        <v>253</v>
      </c>
      <c r="D70" s="37" t="s">
        <v>51</v>
      </c>
      <c r="E70" s="79" t="s">
        <v>52</v>
      </c>
      <c r="F70" s="79" t="s">
        <v>53</v>
      </c>
      <c r="G70" s="111" t="s">
        <v>148</v>
      </c>
      <c r="H70" s="82" t="s">
        <v>25</v>
      </c>
      <c r="I70" s="74">
        <v>92201</v>
      </c>
      <c r="J70" s="75">
        <f t="shared" si="7"/>
        <v>1280.57</v>
      </c>
      <c r="K70" s="76">
        <v>6.4</v>
      </c>
      <c r="L70" s="77">
        <f t="shared" si="8"/>
        <v>8196</v>
      </c>
      <c r="M70" s="102"/>
      <c r="N70" s="102"/>
      <c r="O70" s="102">
        <v>25</v>
      </c>
      <c r="P70" s="102">
        <v>3.84</v>
      </c>
      <c r="Q70" s="77">
        <f>17697*25%/72*P70</f>
        <v>236</v>
      </c>
      <c r="R70" s="102"/>
      <c r="S70" s="102"/>
      <c r="T70" s="77"/>
      <c r="U70" s="77">
        <f t="shared" si="10"/>
        <v>820</v>
      </c>
      <c r="V70" s="77">
        <f t="shared" si="11"/>
        <v>9252</v>
      </c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128"/>
    </row>
    <row r="71" spans="1:91" s="127" customFormat="1" ht="94.5" customHeight="1">
      <c r="A71" s="79">
        <v>4</v>
      </c>
      <c r="B71" s="80"/>
      <c r="C71" s="85" t="s">
        <v>369</v>
      </c>
      <c r="D71" s="37" t="s">
        <v>51</v>
      </c>
      <c r="E71" s="80" t="s">
        <v>94</v>
      </c>
      <c r="F71" s="80" t="s">
        <v>95</v>
      </c>
      <c r="G71" s="82" t="s">
        <v>164</v>
      </c>
      <c r="H71" s="82" t="s">
        <v>25</v>
      </c>
      <c r="I71" s="82">
        <v>93971</v>
      </c>
      <c r="J71" s="75">
        <f t="shared" si="7"/>
        <v>1305.1500000000001</v>
      </c>
      <c r="K71" s="76">
        <v>6.4</v>
      </c>
      <c r="L71" s="77">
        <f t="shared" si="8"/>
        <v>8353</v>
      </c>
      <c r="M71" s="102"/>
      <c r="N71" s="102"/>
      <c r="O71" s="102">
        <v>25</v>
      </c>
      <c r="P71" s="102">
        <v>3.84</v>
      </c>
      <c r="Q71" s="77">
        <f>17697*25%/72*P71</f>
        <v>236</v>
      </c>
      <c r="R71" s="102"/>
      <c r="S71" s="102"/>
      <c r="T71" s="77"/>
      <c r="U71" s="77">
        <f t="shared" si="10"/>
        <v>835</v>
      </c>
      <c r="V71" s="77">
        <f t="shared" si="11"/>
        <v>9424</v>
      </c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128"/>
    </row>
    <row r="72" spans="1:91" s="127" customFormat="1" ht="93.75" customHeight="1">
      <c r="A72" s="102">
        <v>5</v>
      </c>
      <c r="B72" s="80"/>
      <c r="C72" s="81" t="s">
        <v>74</v>
      </c>
      <c r="D72" s="37" t="s">
        <v>51</v>
      </c>
      <c r="E72" s="83" t="s">
        <v>75</v>
      </c>
      <c r="F72" s="80" t="s">
        <v>76</v>
      </c>
      <c r="G72" s="80" t="s">
        <v>152</v>
      </c>
      <c r="H72" s="74" t="s">
        <v>25</v>
      </c>
      <c r="I72" s="82">
        <v>90609</v>
      </c>
      <c r="J72" s="75">
        <f t="shared" si="7"/>
        <v>1258.46</v>
      </c>
      <c r="K72" s="102">
        <v>5.2</v>
      </c>
      <c r="L72" s="77">
        <f t="shared" si="8"/>
        <v>6544</v>
      </c>
      <c r="M72" s="102"/>
      <c r="N72" s="102"/>
      <c r="O72" s="102">
        <v>20</v>
      </c>
      <c r="P72" s="102">
        <v>5.2</v>
      </c>
      <c r="Q72" s="77">
        <f>17697*20%/72*P72</f>
        <v>256</v>
      </c>
      <c r="R72" s="102"/>
      <c r="S72" s="102"/>
      <c r="T72" s="77"/>
      <c r="U72" s="77">
        <f t="shared" si="10"/>
        <v>654</v>
      </c>
      <c r="V72" s="77">
        <f t="shared" si="11"/>
        <v>7454</v>
      </c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128"/>
    </row>
    <row r="73" spans="1:91" s="127" customFormat="1" ht="98.25" customHeight="1">
      <c r="A73" s="79">
        <v>6</v>
      </c>
      <c r="B73" s="37"/>
      <c r="C73" s="37" t="s">
        <v>74</v>
      </c>
      <c r="D73" s="37" t="s">
        <v>51</v>
      </c>
      <c r="E73" s="37" t="s">
        <v>78</v>
      </c>
      <c r="F73" s="37" t="s">
        <v>79</v>
      </c>
      <c r="G73" s="80" t="s">
        <v>155</v>
      </c>
      <c r="H73" s="82" t="s">
        <v>25</v>
      </c>
      <c r="I73" s="82">
        <v>87246</v>
      </c>
      <c r="J73" s="75">
        <f t="shared" si="7"/>
        <v>1211.75</v>
      </c>
      <c r="K73" s="76">
        <v>5.2</v>
      </c>
      <c r="L73" s="77">
        <f t="shared" si="8"/>
        <v>6301</v>
      </c>
      <c r="M73" s="102"/>
      <c r="N73" s="102"/>
      <c r="O73" s="102">
        <v>20</v>
      </c>
      <c r="P73" s="102">
        <v>5.2</v>
      </c>
      <c r="Q73" s="77">
        <f t="shared" ref="Q73:Q79" si="12">17697*20%/72*P73</f>
        <v>256</v>
      </c>
      <c r="R73" s="102"/>
      <c r="S73" s="102"/>
      <c r="T73" s="77"/>
      <c r="U73" s="77">
        <f t="shared" si="10"/>
        <v>630</v>
      </c>
      <c r="V73" s="77">
        <f t="shared" si="11"/>
        <v>7187</v>
      </c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128"/>
    </row>
    <row r="74" spans="1:91" s="127" customFormat="1" ht="63.75">
      <c r="A74" s="102">
        <v>7</v>
      </c>
      <c r="B74" s="80"/>
      <c r="C74" s="81" t="s">
        <v>254</v>
      </c>
      <c r="D74" s="37" t="s">
        <v>51</v>
      </c>
      <c r="E74" s="80" t="s">
        <v>56</v>
      </c>
      <c r="F74" s="80" t="s">
        <v>57</v>
      </c>
      <c r="G74" s="80" t="s">
        <v>24</v>
      </c>
      <c r="H74" s="82" t="s">
        <v>25</v>
      </c>
      <c r="I74" s="74">
        <v>90609</v>
      </c>
      <c r="J74" s="75">
        <f t="shared" si="7"/>
        <v>1258.46</v>
      </c>
      <c r="K74" s="76">
        <v>5</v>
      </c>
      <c r="L74" s="77">
        <f t="shared" si="8"/>
        <v>6292</v>
      </c>
      <c r="M74" s="102"/>
      <c r="N74" s="102"/>
      <c r="O74" s="102"/>
      <c r="P74" s="102"/>
      <c r="Q74" s="77">
        <f t="shared" si="12"/>
        <v>0</v>
      </c>
      <c r="R74" s="102"/>
      <c r="S74" s="102"/>
      <c r="T74" s="77"/>
      <c r="U74" s="77">
        <f t="shared" si="10"/>
        <v>629</v>
      </c>
      <c r="V74" s="77">
        <f t="shared" si="11"/>
        <v>6921</v>
      </c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128"/>
    </row>
    <row r="75" spans="1:91" s="127" customFormat="1" ht="51" customHeight="1">
      <c r="A75" s="79">
        <v>8</v>
      </c>
      <c r="B75" s="37"/>
      <c r="C75" s="81" t="s">
        <v>296</v>
      </c>
      <c r="D75" s="37" t="s">
        <v>51</v>
      </c>
      <c r="E75" s="37" t="s">
        <v>237</v>
      </c>
      <c r="F75" s="37" t="s">
        <v>238</v>
      </c>
      <c r="G75" s="36" t="s">
        <v>32</v>
      </c>
      <c r="H75" s="74" t="s">
        <v>42</v>
      </c>
      <c r="I75" s="36">
        <v>82468</v>
      </c>
      <c r="J75" s="75">
        <f t="shared" ref="J75:J83" si="13">I75/72</f>
        <v>1145.3900000000001</v>
      </c>
      <c r="K75" s="76">
        <v>12.6</v>
      </c>
      <c r="L75" s="77">
        <f t="shared" ref="L75:L83" si="14">J75*K75</f>
        <v>14432</v>
      </c>
      <c r="M75" s="102"/>
      <c r="N75" s="102"/>
      <c r="O75" s="102"/>
      <c r="P75" s="102"/>
      <c r="Q75" s="77">
        <f t="shared" si="12"/>
        <v>0</v>
      </c>
      <c r="R75" s="102"/>
      <c r="S75" s="102"/>
      <c r="T75" s="77"/>
      <c r="U75" s="77">
        <f t="shared" si="10"/>
        <v>1443</v>
      </c>
      <c r="V75" s="77">
        <f t="shared" si="11"/>
        <v>15875</v>
      </c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128"/>
    </row>
    <row r="76" spans="1:91" s="127" customFormat="1" ht="48" customHeight="1">
      <c r="A76" s="102">
        <v>9</v>
      </c>
      <c r="B76" s="83"/>
      <c r="C76" s="81" t="s">
        <v>296</v>
      </c>
      <c r="D76" s="37" t="s">
        <v>51</v>
      </c>
      <c r="E76" s="80" t="s">
        <v>132</v>
      </c>
      <c r="F76" s="80" t="s">
        <v>133</v>
      </c>
      <c r="G76" s="80" t="s">
        <v>175</v>
      </c>
      <c r="H76" s="74" t="s">
        <v>42</v>
      </c>
      <c r="I76" s="82">
        <v>85653</v>
      </c>
      <c r="J76" s="75">
        <f t="shared" si="13"/>
        <v>1189.6300000000001</v>
      </c>
      <c r="K76" s="76">
        <v>12.6</v>
      </c>
      <c r="L76" s="77">
        <f t="shared" si="14"/>
        <v>14989</v>
      </c>
      <c r="M76" s="102"/>
      <c r="N76" s="102"/>
      <c r="O76" s="102"/>
      <c r="P76" s="76"/>
      <c r="Q76" s="77">
        <f t="shared" si="12"/>
        <v>0</v>
      </c>
      <c r="R76" s="102"/>
      <c r="S76" s="102"/>
      <c r="T76" s="77"/>
      <c r="U76" s="77">
        <f t="shared" si="10"/>
        <v>1499</v>
      </c>
      <c r="V76" s="77">
        <f t="shared" si="11"/>
        <v>16488</v>
      </c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128"/>
    </row>
    <row r="77" spans="1:91" s="127" customFormat="1" ht="193.5" customHeight="1">
      <c r="A77" s="79">
        <v>10</v>
      </c>
      <c r="B77" s="80"/>
      <c r="C77" s="81" t="s">
        <v>461</v>
      </c>
      <c r="D77" s="37" t="s">
        <v>51</v>
      </c>
      <c r="E77" s="80" t="s">
        <v>26</v>
      </c>
      <c r="F77" s="80" t="s">
        <v>124</v>
      </c>
      <c r="G77" s="80" t="s">
        <v>173</v>
      </c>
      <c r="H77" s="82" t="s">
        <v>42</v>
      </c>
      <c r="I77" s="74">
        <v>92201</v>
      </c>
      <c r="J77" s="75">
        <f t="shared" si="13"/>
        <v>1280.57</v>
      </c>
      <c r="K77" s="102">
        <f>13.2+5.2+14.4+10</f>
        <v>42.8</v>
      </c>
      <c r="L77" s="77">
        <f t="shared" si="14"/>
        <v>54808</v>
      </c>
      <c r="M77" s="102"/>
      <c r="N77" s="102"/>
      <c r="O77" s="102"/>
      <c r="P77" s="102"/>
      <c r="Q77" s="77">
        <f t="shared" si="12"/>
        <v>0</v>
      </c>
      <c r="R77" s="102"/>
      <c r="S77" s="102"/>
      <c r="T77" s="77"/>
      <c r="U77" s="77">
        <f t="shared" si="10"/>
        <v>5481</v>
      </c>
      <c r="V77" s="77">
        <f t="shared" si="11"/>
        <v>60289</v>
      </c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128"/>
    </row>
    <row r="78" spans="1:91" s="127" customFormat="1" ht="105" customHeight="1">
      <c r="A78" s="102">
        <v>11</v>
      </c>
      <c r="B78" s="80"/>
      <c r="C78" s="80" t="s">
        <v>460</v>
      </c>
      <c r="D78" s="37" t="s">
        <v>51</v>
      </c>
      <c r="E78" s="37" t="s">
        <v>26</v>
      </c>
      <c r="F78" s="37" t="s">
        <v>27</v>
      </c>
      <c r="G78" s="80" t="s">
        <v>140</v>
      </c>
      <c r="H78" s="82" t="s">
        <v>25</v>
      </c>
      <c r="I78" s="82">
        <v>92201</v>
      </c>
      <c r="J78" s="75">
        <f t="shared" si="13"/>
        <v>1280.57</v>
      </c>
      <c r="K78" s="76">
        <f>15+14.4</f>
        <v>29.4</v>
      </c>
      <c r="L78" s="77">
        <f t="shared" si="14"/>
        <v>37649</v>
      </c>
      <c r="M78" s="102"/>
      <c r="N78" s="102"/>
      <c r="O78" s="102"/>
      <c r="P78" s="102"/>
      <c r="Q78" s="77">
        <f t="shared" si="12"/>
        <v>0</v>
      </c>
      <c r="R78" s="102"/>
      <c r="S78" s="102"/>
      <c r="T78" s="77"/>
      <c r="U78" s="77">
        <f t="shared" si="10"/>
        <v>3765</v>
      </c>
      <c r="V78" s="77">
        <f t="shared" si="11"/>
        <v>41414</v>
      </c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128"/>
    </row>
    <row r="79" spans="1:91" s="127" customFormat="1" ht="121.5" customHeight="1">
      <c r="A79" s="79">
        <v>12</v>
      </c>
      <c r="B79" s="80"/>
      <c r="C79" s="80" t="s">
        <v>533</v>
      </c>
      <c r="D79" s="37" t="s">
        <v>51</v>
      </c>
      <c r="E79" s="37" t="s">
        <v>38</v>
      </c>
      <c r="F79" s="80" t="s">
        <v>82</v>
      </c>
      <c r="G79" s="80" t="s">
        <v>159</v>
      </c>
      <c r="H79" s="82" t="s">
        <v>25</v>
      </c>
      <c r="I79" s="82">
        <v>93971</v>
      </c>
      <c r="J79" s="109">
        <f t="shared" si="13"/>
        <v>1305.1500000000001</v>
      </c>
      <c r="K79" s="76">
        <f>15+11.6+8.6</f>
        <v>35.200000000000003</v>
      </c>
      <c r="L79" s="77">
        <f t="shared" si="14"/>
        <v>45941</v>
      </c>
      <c r="M79" s="102">
        <v>4424</v>
      </c>
      <c r="N79" s="102">
        <v>4424</v>
      </c>
      <c r="O79" s="102"/>
      <c r="P79" s="102"/>
      <c r="Q79" s="77">
        <f t="shared" si="12"/>
        <v>0</v>
      </c>
      <c r="R79" s="102"/>
      <c r="S79" s="102"/>
      <c r="T79" s="77"/>
      <c r="U79" s="77">
        <f t="shared" si="10"/>
        <v>4594</v>
      </c>
      <c r="V79" s="77">
        <f t="shared" si="11"/>
        <v>59383</v>
      </c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128"/>
    </row>
    <row r="80" spans="1:91" s="127" customFormat="1" ht="84.75" customHeight="1">
      <c r="A80" s="102">
        <v>13</v>
      </c>
      <c r="B80" s="37"/>
      <c r="C80" s="37" t="s">
        <v>462</v>
      </c>
      <c r="D80" s="37" t="s">
        <v>51</v>
      </c>
      <c r="E80" s="37" t="s">
        <v>65</v>
      </c>
      <c r="F80" s="36" t="s">
        <v>66</v>
      </c>
      <c r="G80" s="80" t="s">
        <v>123</v>
      </c>
      <c r="H80" s="82" t="s">
        <v>42</v>
      </c>
      <c r="I80" s="74">
        <v>89016</v>
      </c>
      <c r="J80" s="75">
        <f t="shared" si="13"/>
        <v>1236.33</v>
      </c>
      <c r="K80" s="102">
        <v>15.8</v>
      </c>
      <c r="L80" s="77">
        <f t="shared" si="14"/>
        <v>19534</v>
      </c>
      <c r="M80" s="102"/>
      <c r="N80" s="102"/>
      <c r="O80" s="102"/>
      <c r="P80" s="102"/>
      <c r="Q80" s="77">
        <f t="shared" ref="Q80:Q83" si="15">17697*20%/72*P80</f>
        <v>0</v>
      </c>
      <c r="R80" s="102"/>
      <c r="S80" s="102"/>
      <c r="T80" s="77"/>
      <c r="U80" s="77">
        <f t="shared" si="10"/>
        <v>1953</v>
      </c>
      <c r="V80" s="77">
        <f t="shared" si="11"/>
        <v>21487</v>
      </c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128"/>
    </row>
    <row r="81" spans="1:91" s="127" customFormat="1" ht="100.5" customHeight="1">
      <c r="A81" s="79">
        <v>14</v>
      </c>
      <c r="B81" s="86"/>
      <c r="C81" s="87" t="s">
        <v>463</v>
      </c>
      <c r="D81" s="37" t="s">
        <v>51</v>
      </c>
      <c r="E81" s="86" t="s">
        <v>26</v>
      </c>
      <c r="F81" s="86" t="s">
        <v>48</v>
      </c>
      <c r="G81" s="86" t="s">
        <v>145</v>
      </c>
      <c r="H81" s="88" t="s">
        <v>25</v>
      </c>
      <c r="I81" s="88">
        <v>85653</v>
      </c>
      <c r="J81" s="106">
        <f t="shared" si="13"/>
        <v>1189.6300000000001</v>
      </c>
      <c r="K81" s="76">
        <v>4</v>
      </c>
      <c r="L81" s="77">
        <f t="shared" si="14"/>
        <v>4759</v>
      </c>
      <c r="M81" s="102"/>
      <c r="N81" s="102"/>
      <c r="O81" s="102"/>
      <c r="P81" s="102"/>
      <c r="Q81" s="77">
        <f t="shared" si="15"/>
        <v>0</v>
      </c>
      <c r="R81" s="102"/>
      <c r="S81" s="102"/>
      <c r="T81" s="77"/>
      <c r="U81" s="77">
        <f t="shared" si="10"/>
        <v>476</v>
      </c>
      <c r="V81" s="77">
        <f t="shared" si="11"/>
        <v>5235</v>
      </c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128"/>
    </row>
    <row r="82" spans="1:91" s="127" customFormat="1" ht="92.25" customHeight="1">
      <c r="A82" s="102">
        <v>15</v>
      </c>
      <c r="B82" s="83"/>
      <c r="C82" s="37" t="s">
        <v>355</v>
      </c>
      <c r="D82" s="37" t="s">
        <v>51</v>
      </c>
      <c r="E82" s="80" t="s">
        <v>136</v>
      </c>
      <c r="F82" s="37" t="s">
        <v>137</v>
      </c>
      <c r="G82" s="80" t="s">
        <v>176</v>
      </c>
      <c r="H82" s="82" t="s">
        <v>42</v>
      </c>
      <c r="I82" s="74">
        <v>90609</v>
      </c>
      <c r="J82" s="75">
        <f t="shared" si="13"/>
        <v>1258.46</v>
      </c>
      <c r="K82" s="76">
        <v>3.4</v>
      </c>
      <c r="L82" s="77">
        <f t="shared" si="14"/>
        <v>4279</v>
      </c>
      <c r="M82" s="102"/>
      <c r="N82" s="102"/>
      <c r="O82" s="102"/>
      <c r="P82" s="102"/>
      <c r="Q82" s="77">
        <f t="shared" si="15"/>
        <v>0</v>
      </c>
      <c r="R82" s="102"/>
      <c r="S82" s="102"/>
      <c r="T82" s="77"/>
      <c r="U82" s="77">
        <f t="shared" si="10"/>
        <v>428</v>
      </c>
      <c r="V82" s="77">
        <f t="shared" si="11"/>
        <v>4707</v>
      </c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128"/>
    </row>
    <row r="83" spans="1:91" s="127" customFormat="1" ht="64.5" customHeight="1">
      <c r="A83" s="79">
        <v>16</v>
      </c>
      <c r="B83" s="37"/>
      <c r="C83" s="81" t="s">
        <v>347</v>
      </c>
      <c r="D83" s="37" t="s">
        <v>51</v>
      </c>
      <c r="E83" s="72" t="s">
        <v>232</v>
      </c>
      <c r="F83" s="37" t="s">
        <v>233</v>
      </c>
      <c r="G83" s="36" t="s">
        <v>180</v>
      </c>
      <c r="H83" s="74" t="s">
        <v>42</v>
      </c>
      <c r="I83" s="36">
        <v>90609</v>
      </c>
      <c r="J83" s="109">
        <f t="shared" si="13"/>
        <v>1258.46</v>
      </c>
      <c r="K83" s="325">
        <v>3.6</v>
      </c>
      <c r="L83" s="110">
        <f t="shared" si="14"/>
        <v>4530</v>
      </c>
      <c r="M83" s="101"/>
      <c r="N83" s="101"/>
      <c r="O83" s="101"/>
      <c r="P83" s="101"/>
      <c r="Q83" s="110">
        <f t="shared" si="15"/>
        <v>0</v>
      </c>
      <c r="R83" s="101"/>
      <c r="S83" s="101"/>
      <c r="T83" s="110"/>
      <c r="U83" s="77">
        <f t="shared" si="10"/>
        <v>453</v>
      </c>
      <c r="V83" s="77">
        <f t="shared" si="11"/>
        <v>4983</v>
      </c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128"/>
    </row>
    <row r="84" spans="1:91" s="127" customFormat="1" ht="60.75" customHeight="1">
      <c r="A84" s="102">
        <v>17</v>
      </c>
      <c r="B84" s="37"/>
      <c r="C84" s="93" t="s">
        <v>464</v>
      </c>
      <c r="D84" s="37" t="s">
        <v>51</v>
      </c>
      <c r="E84" s="94"/>
      <c r="F84" s="94"/>
      <c r="G84" s="36" t="s">
        <v>50</v>
      </c>
      <c r="H84" s="82" t="s">
        <v>42</v>
      </c>
      <c r="I84" s="36">
        <v>85653</v>
      </c>
      <c r="J84" s="75">
        <f>I84/72</f>
        <v>1189.6300000000001</v>
      </c>
      <c r="K84" s="102">
        <f>1.8+10+7.2</f>
        <v>19</v>
      </c>
      <c r="L84" s="77">
        <f>J84*K84</f>
        <v>22603</v>
      </c>
      <c r="M84" s="102"/>
      <c r="N84" s="102"/>
      <c r="O84" s="102"/>
      <c r="P84" s="102"/>
      <c r="Q84" s="77">
        <f>17697*20%/72*P84</f>
        <v>0</v>
      </c>
      <c r="R84" s="102"/>
      <c r="S84" s="102"/>
      <c r="T84" s="77"/>
      <c r="U84" s="77">
        <f t="shared" si="10"/>
        <v>2260</v>
      </c>
      <c r="V84" s="77">
        <f t="shared" si="11"/>
        <v>24863</v>
      </c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128"/>
    </row>
    <row r="85" spans="1:91" s="127" customFormat="1">
      <c r="A85" s="104"/>
      <c r="B85" s="104" t="s">
        <v>8</v>
      </c>
      <c r="C85" s="102"/>
      <c r="D85" s="102"/>
      <c r="E85" s="102"/>
      <c r="F85" s="102"/>
      <c r="G85" s="104"/>
      <c r="H85" s="102"/>
      <c r="I85" s="102"/>
      <c r="J85" s="75"/>
      <c r="K85" s="76">
        <f>SUM(K68:K84)</f>
        <v>214.6</v>
      </c>
      <c r="L85" s="76">
        <f t="shared" ref="L85:V85" si="16">SUM(L68:L84)</f>
        <v>268594</v>
      </c>
      <c r="M85" s="76">
        <f t="shared" si="16"/>
        <v>4424</v>
      </c>
      <c r="N85" s="76">
        <f t="shared" si="16"/>
        <v>4424</v>
      </c>
      <c r="O85" s="76">
        <f t="shared" si="16"/>
        <v>115</v>
      </c>
      <c r="P85" s="75">
        <f t="shared" si="16"/>
        <v>19.28</v>
      </c>
      <c r="Q85" s="76">
        <f t="shared" si="16"/>
        <v>1058</v>
      </c>
      <c r="R85" s="76">
        <f t="shared" si="16"/>
        <v>0</v>
      </c>
      <c r="S85" s="76">
        <f t="shared" si="16"/>
        <v>0</v>
      </c>
      <c r="T85" s="76">
        <f t="shared" si="16"/>
        <v>0</v>
      </c>
      <c r="U85" s="76">
        <f t="shared" si="16"/>
        <v>26859</v>
      </c>
      <c r="V85" s="76">
        <f t="shared" si="16"/>
        <v>305359</v>
      </c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128"/>
    </row>
    <row r="86" spans="1:91" s="127" customFormat="1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6" t="s">
        <v>213</v>
      </c>
      <c r="P86" s="96"/>
      <c r="Q86" s="96"/>
      <c r="R86" s="96"/>
      <c r="S86" s="97"/>
      <c r="T86" s="97"/>
      <c r="U86" s="98"/>
      <c r="V86" s="98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128"/>
    </row>
    <row r="87" spans="1:91" s="2" customFormat="1">
      <c r="A87" s="69" t="s">
        <v>0</v>
      </c>
      <c r="B87" s="69"/>
      <c r="C87" s="69"/>
      <c r="D87" s="69"/>
      <c r="E87" s="70"/>
      <c r="F87" s="70"/>
      <c r="G87" s="70"/>
      <c r="H87" s="70"/>
      <c r="I87" s="70"/>
      <c r="J87" s="70"/>
      <c r="K87" s="70"/>
      <c r="L87" s="70"/>
      <c r="M87" s="70"/>
      <c r="N87" s="69" t="s">
        <v>1</v>
      </c>
      <c r="O87" s="69"/>
      <c r="P87" s="69"/>
      <c r="Q87" s="69"/>
      <c r="R87" s="69"/>
      <c r="S87" s="69"/>
      <c r="T87" s="69"/>
      <c r="U87" s="70"/>
      <c r="V87" s="100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</row>
    <row r="88" spans="1:91" s="2" customFormat="1">
      <c r="A88" s="69" t="s">
        <v>2</v>
      </c>
      <c r="B88" s="69"/>
      <c r="C88" s="69"/>
      <c r="D88" s="69"/>
      <c r="E88" s="70"/>
      <c r="F88" s="70"/>
      <c r="G88" s="70"/>
      <c r="H88" s="70"/>
      <c r="I88" s="70"/>
      <c r="J88" s="70"/>
      <c r="K88" s="70"/>
      <c r="L88" s="70"/>
      <c r="M88" s="70"/>
      <c r="N88" s="69" t="s">
        <v>3</v>
      </c>
      <c r="O88" s="69"/>
      <c r="P88" s="69"/>
      <c r="Q88" s="69"/>
      <c r="R88" s="69"/>
      <c r="S88" s="69"/>
      <c r="T88" s="69"/>
      <c r="U88" s="70"/>
      <c r="V88" s="100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</row>
    <row r="89" spans="1:91" s="2" customFormat="1">
      <c r="A89" s="69"/>
      <c r="B89" s="69"/>
      <c r="C89" s="69"/>
      <c r="D89" s="69"/>
      <c r="E89" s="70"/>
      <c r="F89" s="70"/>
      <c r="G89" s="70"/>
      <c r="H89" s="70"/>
      <c r="I89" s="70"/>
      <c r="J89" s="70"/>
      <c r="K89" s="70"/>
      <c r="L89" s="70"/>
      <c r="M89" s="70"/>
      <c r="N89" s="68" t="s">
        <v>4</v>
      </c>
      <c r="O89" s="68"/>
      <c r="P89" s="68"/>
      <c r="Q89" s="68"/>
      <c r="R89" s="68"/>
      <c r="S89" s="68"/>
      <c r="T89" s="68"/>
      <c r="U89" s="70"/>
      <c r="V89" s="100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</row>
    <row r="90" spans="1:91" s="2" customFormat="1">
      <c r="A90" s="69" t="s">
        <v>5</v>
      </c>
      <c r="B90" s="69"/>
      <c r="C90" s="69" t="s">
        <v>6</v>
      </c>
      <c r="D90" s="69"/>
      <c r="E90" s="462" t="s">
        <v>183</v>
      </c>
      <c r="F90" s="462"/>
      <c r="G90" s="462"/>
      <c r="H90" s="462"/>
      <c r="I90" s="462"/>
      <c r="J90" s="462"/>
      <c r="K90" s="462"/>
      <c r="L90" s="462"/>
      <c r="M90" s="70"/>
      <c r="N90" s="69" t="s">
        <v>139</v>
      </c>
      <c r="O90" s="69"/>
      <c r="P90" s="69"/>
      <c r="Q90" s="69"/>
      <c r="R90" s="69"/>
      <c r="S90" s="69"/>
      <c r="T90" s="69"/>
      <c r="U90" s="70"/>
      <c r="V90" s="100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</row>
    <row r="91" spans="1:91" s="2" customFormat="1">
      <c r="A91" s="69"/>
      <c r="B91" s="69"/>
      <c r="C91" s="69"/>
      <c r="D91" s="69"/>
      <c r="E91" s="463" t="s">
        <v>184</v>
      </c>
      <c r="F91" s="463"/>
      <c r="G91" s="463"/>
      <c r="H91" s="463"/>
      <c r="I91" s="463"/>
      <c r="J91" s="463"/>
      <c r="K91" s="463"/>
      <c r="L91" s="463"/>
      <c r="M91" s="463"/>
      <c r="N91" s="70"/>
      <c r="O91" s="70"/>
      <c r="P91" s="70"/>
      <c r="Q91" s="70"/>
      <c r="R91" s="70"/>
      <c r="S91" s="70"/>
      <c r="T91" s="70"/>
      <c r="U91" s="70"/>
      <c r="V91" s="100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</row>
    <row r="92" spans="1:91" s="2" customFormat="1">
      <c r="A92" s="70"/>
      <c r="B92" s="70"/>
      <c r="C92" s="70"/>
      <c r="D92" s="70"/>
      <c r="E92" s="464" t="s">
        <v>219</v>
      </c>
      <c r="F92" s="464"/>
      <c r="G92" s="464"/>
      <c r="H92" s="464"/>
      <c r="I92" s="464"/>
      <c r="J92" s="464"/>
      <c r="K92" s="464"/>
      <c r="L92" s="464"/>
      <c r="M92" s="464"/>
      <c r="N92" s="70"/>
      <c r="O92" s="70"/>
      <c r="P92" s="70"/>
      <c r="Q92" s="70"/>
      <c r="R92" s="70"/>
      <c r="S92" s="70"/>
      <c r="T92" s="70"/>
      <c r="U92" s="70"/>
      <c r="V92" s="100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</row>
    <row r="93" spans="1:91" s="2" customFormat="1">
      <c r="A93" s="70"/>
      <c r="B93" s="70"/>
      <c r="C93" s="70"/>
      <c r="D93" s="70"/>
      <c r="E93" s="464" t="s">
        <v>7</v>
      </c>
      <c r="F93" s="464"/>
      <c r="G93" s="464"/>
      <c r="H93" s="464"/>
      <c r="I93" s="464"/>
      <c r="J93" s="464"/>
      <c r="K93" s="464"/>
      <c r="L93" s="464"/>
      <c r="M93" s="464"/>
      <c r="N93" s="70"/>
      <c r="O93" s="70"/>
      <c r="P93" s="70"/>
      <c r="Q93" s="70"/>
      <c r="R93" s="70"/>
      <c r="S93" s="70"/>
      <c r="T93" s="70"/>
      <c r="U93" s="70"/>
      <c r="V93" s="100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</row>
    <row r="94" spans="1:91" s="2" customForma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 t="s">
        <v>185</v>
      </c>
      <c r="R94" s="70"/>
      <c r="S94" s="70"/>
      <c r="T94" s="70"/>
      <c r="U94" s="70"/>
      <c r="V94" s="100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</row>
    <row r="95" spans="1:91" s="2" customForma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 t="s">
        <v>265</v>
      </c>
      <c r="R95" s="70"/>
      <c r="S95" s="70"/>
      <c r="T95" s="70"/>
      <c r="U95" s="70"/>
      <c r="V95" s="100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</row>
    <row r="96" spans="1:91" s="2" customForma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 t="s">
        <v>186</v>
      </c>
      <c r="R96" s="70"/>
      <c r="S96" s="70"/>
      <c r="T96" s="70" t="s">
        <v>187</v>
      </c>
      <c r="U96" s="70"/>
      <c r="V96" s="100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</row>
    <row r="97" spans="1:90" s="2" customForma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 t="s">
        <v>188</v>
      </c>
      <c r="R97" s="70"/>
      <c r="S97" s="70"/>
      <c r="T97" s="70">
        <v>2</v>
      </c>
      <c r="U97" s="70"/>
      <c r="V97" s="100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</row>
    <row r="98" spans="1:90" s="2" customForma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 t="s">
        <v>189</v>
      </c>
      <c r="R98" s="70"/>
      <c r="S98" s="70"/>
      <c r="T98" s="70">
        <v>25</v>
      </c>
      <c r="U98" s="70" t="s">
        <v>190</v>
      </c>
      <c r="V98" s="100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</row>
    <row r="99" spans="1:90" s="2" customForma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 t="s">
        <v>191</v>
      </c>
      <c r="R99" s="70"/>
      <c r="S99" s="70"/>
      <c r="T99" s="70">
        <v>0</v>
      </c>
      <c r="U99" s="70">
        <f>T99*100/T98</f>
        <v>0</v>
      </c>
      <c r="V99" s="100" t="s">
        <v>17</v>
      </c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</row>
    <row r="100" spans="1:90" s="2" customForma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 t="s">
        <v>192</v>
      </c>
      <c r="R100" s="70"/>
      <c r="S100" s="70"/>
      <c r="T100" s="70">
        <v>25</v>
      </c>
      <c r="U100" s="70">
        <f>T100*100/T98</f>
        <v>100</v>
      </c>
      <c r="V100" s="100" t="s">
        <v>17</v>
      </c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</row>
    <row r="101" spans="1:90" s="2" customForma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 t="s">
        <v>193</v>
      </c>
      <c r="R101" s="70"/>
      <c r="S101" s="70"/>
      <c r="T101" s="324">
        <f>K126</f>
        <v>214.6</v>
      </c>
      <c r="U101" s="70"/>
      <c r="V101" s="100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</row>
    <row r="102" spans="1:90" s="2" customFormat="1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100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</row>
    <row r="103" spans="1:90" s="2" customFormat="1">
      <c r="A103" s="70"/>
      <c r="B103" s="70" t="s">
        <v>465</v>
      </c>
      <c r="C103" s="70" t="s">
        <v>194</v>
      </c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100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</row>
    <row r="104" spans="1:90" s="2" customFormat="1">
      <c r="A104" s="459" t="s">
        <v>195</v>
      </c>
      <c r="B104" s="459" t="s">
        <v>196</v>
      </c>
      <c r="C104" s="459" t="s">
        <v>197</v>
      </c>
      <c r="D104" s="459" t="s">
        <v>198</v>
      </c>
      <c r="E104" s="459" t="s">
        <v>10</v>
      </c>
      <c r="F104" s="459" t="s">
        <v>199</v>
      </c>
      <c r="G104" s="459" t="s">
        <v>200</v>
      </c>
      <c r="H104" s="459" t="s">
        <v>201</v>
      </c>
      <c r="I104" s="459" t="s">
        <v>202</v>
      </c>
      <c r="J104" s="459" t="s">
        <v>11</v>
      </c>
      <c r="K104" s="459" t="s">
        <v>203</v>
      </c>
      <c r="L104" s="459" t="s">
        <v>12</v>
      </c>
      <c r="M104" s="458" t="s">
        <v>204</v>
      </c>
      <c r="N104" s="458"/>
      <c r="O104" s="458"/>
      <c r="P104" s="458"/>
      <c r="Q104" s="458"/>
      <c r="R104" s="458"/>
      <c r="S104" s="458"/>
      <c r="T104" s="458"/>
      <c r="U104" s="459" t="s">
        <v>205</v>
      </c>
      <c r="V104" s="479" t="s">
        <v>206</v>
      </c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</row>
    <row r="105" spans="1:90" s="2" customFormat="1">
      <c r="A105" s="460"/>
      <c r="B105" s="460"/>
      <c r="C105" s="460"/>
      <c r="D105" s="460"/>
      <c r="E105" s="460"/>
      <c r="F105" s="460"/>
      <c r="G105" s="460"/>
      <c r="H105" s="460"/>
      <c r="I105" s="460"/>
      <c r="J105" s="460"/>
      <c r="K105" s="460"/>
      <c r="L105" s="460"/>
      <c r="M105" s="459" t="s">
        <v>207</v>
      </c>
      <c r="N105" s="459" t="s">
        <v>15</v>
      </c>
      <c r="O105" s="458" t="s">
        <v>16</v>
      </c>
      <c r="P105" s="458"/>
      <c r="Q105" s="458"/>
      <c r="R105" s="459"/>
      <c r="S105" s="459"/>
      <c r="T105" s="459"/>
      <c r="U105" s="460"/>
      <c r="V105" s="479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</row>
    <row r="106" spans="1:90" s="2" customFormat="1" ht="49.5" customHeight="1">
      <c r="A106" s="461"/>
      <c r="B106" s="461"/>
      <c r="C106" s="461"/>
      <c r="D106" s="461"/>
      <c r="E106" s="461"/>
      <c r="F106" s="461"/>
      <c r="G106" s="461"/>
      <c r="H106" s="461"/>
      <c r="I106" s="461"/>
      <c r="J106" s="461"/>
      <c r="K106" s="461"/>
      <c r="L106" s="461"/>
      <c r="M106" s="461"/>
      <c r="N106" s="461"/>
      <c r="O106" s="71" t="s">
        <v>17</v>
      </c>
      <c r="P106" s="71" t="s">
        <v>18</v>
      </c>
      <c r="Q106" s="71" t="s">
        <v>19</v>
      </c>
      <c r="R106" s="461"/>
      <c r="S106" s="461"/>
      <c r="T106" s="461"/>
      <c r="U106" s="461"/>
      <c r="V106" s="479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</row>
    <row r="107" spans="1:90" s="2" customFormat="1" ht="87" customHeight="1">
      <c r="A107" s="102">
        <v>1</v>
      </c>
      <c r="B107" s="83"/>
      <c r="C107" s="81" t="s">
        <v>415</v>
      </c>
      <c r="D107" s="37" t="s">
        <v>51</v>
      </c>
      <c r="E107" s="335" t="s">
        <v>235</v>
      </c>
      <c r="F107" s="327" t="s">
        <v>236</v>
      </c>
      <c r="G107" s="80" t="s">
        <v>182</v>
      </c>
      <c r="H107" s="82" t="s">
        <v>42</v>
      </c>
      <c r="I107" s="74">
        <v>82468</v>
      </c>
      <c r="J107" s="75">
        <f>I107/72</f>
        <v>1145.3900000000001</v>
      </c>
      <c r="K107" s="76">
        <v>3</v>
      </c>
      <c r="L107" s="77">
        <f>J107*K107</f>
        <v>3436</v>
      </c>
      <c r="M107" s="102"/>
      <c r="N107" s="102"/>
      <c r="O107" s="102">
        <v>25</v>
      </c>
      <c r="P107" s="102">
        <v>1.2</v>
      </c>
      <c r="Q107" s="77">
        <f>17697*25%/72*P107</f>
        <v>74</v>
      </c>
      <c r="R107" s="77"/>
      <c r="S107" s="77"/>
      <c r="T107" s="77"/>
      <c r="U107" s="77">
        <f>L107*10%</f>
        <v>344</v>
      </c>
      <c r="V107" s="77">
        <f>M107+N107+Q107+R107+T107+U107+S107+L107</f>
        <v>3854</v>
      </c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</row>
    <row r="108" spans="1:90" s="2" customFormat="1" ht="45.75" customHeight="1">
      <c r="A108" s="79">
        <v>2</v>
      </c>
      <c r="B108" s="73"/>
      <c r="C108" s="122" t="s">
        <v>28</v>
      </c>
      <c r="D108" s="37" t="s">
        <v>51</v>
      </c>
      <c r="E108" s="73" t="s">
        <v>29</v>
      </c>
      <c r="F108" s="73" t="s">
        <v>30</v>
      </c>
      <c r="G108" s="73" t="s">
        <v>134</v>
      </c>
      <c r="H108" s="74" t="s">
        <v>25</v>
      </c>
      <c r="I108" s="74">
        <v>85653</v>
      </c>
      <c r="J108" s="75">
        <f t="shared" ref="J108:J124" si="17">I108/72</f>
        <v>1189.6300000000001</v>
      </c>
      <c r="K108" s="76">
        <v>5</v>
      </c>
      <c r="L108" s="77">
        <f t="shared" ref="L108:L124" si="18">J108*K108</f>
        <v>5948</v>
      </c>
      <c r="M108" s="102"/>
      <c r="N108" s="102"/>
      <c r="O108" s="102"/>
      <c r="P108" s="102"/>
      <c r="Q108" s="77">
        <f t="shared" ref="Q108" si="19">17697*25%/72*P108</f>
        <v>0</v>
      </c>
      <c r="R108" s="102"/>
      <c r="S108" s="102"/>
      <c r="T108" s="77"/>
      <c r="U108" s="77">
        <f t="shared" ref="U108:U125" si="20">L108*10%</f>
        <v>595</v>
      </c>
      <c r="V108" s="77">
        <f t="shared" ref="V108:V125" si="21">M108+N108+Q108+R108+T108+U108+S108+L108</f>
        <v>6543</v>
      </c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</row>
    <row r="109" spans="1:90" s="2" customFormat="1" ht="96" customHeight="1">
      <c r="A109" s="102">
        <v>3</v>
      </c>
      <c r="B109" s="72"/>
      <c r="C109" s="102" t="s">
        <v>253</v>
      </c>
      <c r="D109" s="37" t="s">
        <v>51</v>
      </c>
      <c r="E109" s="102" t="s">
        <v>92</v>
      </c>
      <c r="F109" s="102" t="s">
        <v>93</v>
      </c>
      <c r="G109" s="73" t="s">
        <v>163</v>
      </c>
      <c r="H109" s="74" t="s">
        <v>25</v>
      </c>
      <c r="I109" s="74">
        <v>93971</v>
      </c>
      <c r="J109" s="75">
        <f t="shared" si="17"/>
        <v>1305.1500000000001</v>
      </c>
      <c r="K109" s="76">
        <v>6.4</v>
      </c>
      <c r="L109" s="77">
        <f t="shared" si="18"/>
        <v>8353</v>
      </c>
      <c r="M109" s="102"/>
      <c r="N109" s="102"/>
      <c r="O109" s="102">
        <v>25</v>
      </c>
      <c r="P109" s="102">
        <v>3.84</v>
      </c>
      <c r="Q109" s="77">
        <f>17697*25%/72*P109</f>
        <v>236</v>
      </c>
      <c r="R109" s="102"/>
      <c r="S109" s="102"/>
      <c r="T109" s="77"/>
      <c r="U109" s="77">
        <f t="shared" si="20"/>
        <v>835</v>
      </c>
      <c r="V109" s="77">
        <f t="shared" si="21"/>
        <v>9424</v>
      </c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</row>
    <row r="110" spans="1:90" s="2" customFormat="1" ht="96" customHeight="1">
      <c r="A110" s="79">
        <v>4</v>
      </c>
      <c r="B110" s="80"/>
      <c r="C110" s="85" t="s">
        <v>369</v>
      </c>
      <c r="D110" s="37" t="s">
        <v>51</v>
      </c>
      <c r="E110" s="80" t="s">
        <v>94</v>
      </c>
      <c r="F110" s="80" t="s">
        <v>95</v>
      </c>
      <c r="G110" s="82" t="s">
        <v>164</v>
      </c>
      <c r="H110" s="82" t="s">
        <v>25</v>
      </c>
      <c r="I110" s="82">
        <v>93971</v>
      </c>
      <c r="J110" s="75">
        <f t="shared" si="17"/>
        <v>1305.1500000000001</v>
      </c>
      <c r="K110" s="76">
        <v>6.4</v>
      </c>
      <c r="L110" s="77">
        <f t="shared" si="18"/>
        <v>8353</v>
      </c>
      <c r="M110" s="102"/>
      <c r="N110" s="102"/>
      <c r="O110" s="102">
        <v>25</v>
      </c>
      <c r="P110" s="102">
        <v>3.84</v>
      </c>
      <c r="Q110" s="77">
        <f>17697*25%/72*P110</f>
        <v>236</v>
      </c>
      <c r="R110" s="102"/>
      <c r="S110" s="102"/>
      <c r="T110" s="77"/>
      <c r="U110" s="77">
        <f t="shared" si="20"/>
        <v>835</v>
      </c>
      <c r="V110" s="77">
        <f t="shared" si="21"/>
        <v>9424</v>
      </c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</row>
    <row r="111" spans="1:90" s="2" customFormat="1" ht="94.5" customHeight="1">
      <c r="A111" s="102">
        <v>5</v>
      </c>
      <c r="B111" s="80"/>
      <c r="C111" s="81" t="s">
        <v>74</v>
      </c>
      <c r="D111" s="37" t="s">
        <v>51</v>
      </c>
      <c r="E111" s="83" t="s">
        <v>75</v>
      </c>
      <c r="F111" s="80" t="s">
        <v>76</v>
      </c>
      <c r="G111" s="80" t="s">
        <v>152</v>
      </c>
      <c r="H111" s="74" t="s">
        <v>25</v>
      </c>
      <c r="I111" s="82">
        <v>90609</v>
      </c>
      <c r="J111" s="75">
        <f t="shared" si="17"/>
        <v>1258.46</v>
      </c>
      <c r="K111" s="102">
        <v>5.2</v>
      </c>
      <c r="L111" s="77">
        <f t="shared" si="18"/>
        <v>6544</v>
      </c>
      <c r="M111" s="102"/>
      <c r="N111" s="102"/>
      <c r="O111" s="102">
        <v>20</v>
      </c>
      <c r="P111" s="102">
        <v>5.2</v>
      </c>
      <c r="Q111" s="77">
        <f>17697*20%/72*P111</f>
        <v>256</v>
      </c>
      <c r="R111" s="102"/>
      <c r="S111" s="102"/>
      <c r="T111" s="77"/>
      <c r="U111" s="77">
        <f t="shared" si="20"/>
        <v>654</v>
      </c>
      <c r="V111" s="77">
        <f t="shared" si="21"/>
        <v>7454</v>
      </c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</row>
    <row r="112" spans="1:90" s="2" customFormat="1" ht="95.25" customHeight="1">
      <c r="A112" s="79">
        <v>6</v>
      </c>
      <c r="B112" s="37"/>
      <c r="C112" s="37" t="s">
        <v>74</v>
      </c>
      <c r="D112" s="37" t="s">
        <v>51</v>
      </c>
      <c r="E112" s="37" t="s">
        <v>78</v>
      </c>
      <c r="F112" s="37" t="s">
        <v>79</v>
      </c>
      <c r="G112" s="80" t="s">
        <v>155</v>
      </c>
      <c r="H112" s="82" t="s">
        <v>25</v>
      </c>
      <c r="I112" s="82">
        <v>87246</v>
      </c>
      <c r="J112" s="75">
        <f t="shared" si="17"/>
        <v>1211.75</v>
      </c>
      <c r="K112" s="76">
        <v>5.2</v>
      </c>
      <c r="L112" s="77">
        <f t="shared" si="18"/>
        <v>6301</v>
      </c>
      <c r="M112" s="102"/>
      <c r="N112" s="102"/>
      <c r="O112" s="102">
        <v>20</v>
      </c>
      <c r="P112" s="102">
        <v>5.2</v>
      </c>
      <c r="Q112" s="77">
        <f t="shared" ref="Q112:Q124" si="22">17697*20%/72*P112</f>
        <v>256</v>
      </c>
      <c r="R112" s="102"/>
      <c r="S112" s="102"/>
      <c r="T112" s="77"/>
      <c r="U112" s="77">
        <f t="shared" si="20"/>
        <v>630</v>
      </c>
      <c r="V112" s="77">
        <f t="shared" si="21"/>
        <v>7187</v>
      </c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</row>
    <row r="113" spans="1:90" s="2" customFormat="1" ht="75" customHeight="1">
      <c r="A113" s="102">
        <v>7</v>
      </c>
      <c r="B113" s="80"/>
      <c r="C113" s="81" t="s">
        <v>254</v>
      </c>
      <c r="D113" s="37" t="s">
        <v>51</v>
      </c>
      <c r="E113" s="80" t="s">
        <v>56</v>
      </c>
      <c r="F113" s="80" t="s">
        <v>57</v>
      </c>
      <c r="G113" s="80" t="s">
        <v>24</v>
      </c>
      <c r="H113" s="82" t="s">
        <v>25</v>
      </c>
      <c r="I113" s="74">
        <v>90609</v>
      </c>
      <c r="J113" s="75">
        <f t="shared" si="17"/>
        <v>1258.46</v>
      </c>
      <c r="K113" s="76">
        <v>5</v>
      </c>
      <c r="L113" s="77">
        <f t="shared" si="18"/>
        <v>6292</v>
      </c>
      <c r="M113" s="102"/>
      <c r="N113" s="102"/>
      <c r="O113" s="102"/>
      <c r="P113" s="102"/>
      <c r="Q113" s="77">
        <f t="shared" si="22"/>
        <v>0</v>
      </c>
      <c r="R113" s="102"/>
      <c r="S113" s="102"/>
      <c r="T113" s="77"/>
      <c r="U113" s="77">
        <f t="shared" si="20"/>
        <v>629</v>
      </c>
      <c r="V113" s="77">
        <f t="shared" si="21"/>
        <v>6921</v>
      </c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</row>
    <row r="114" spans="1:90" s="2" customFormat="1" ht="48.75" customHeight="1">
      <c r="A114" s="79">
        <v>8</v>
      </c>
      <c r="B114" s="37"/>
      <c r="C114" s="81" t="s">
        <v>296</v>
      </c>
      <c r="D114" s="37" t="s">
        <v>51</v>
      </c>
      <c r="E114" s="37" t="s">
        <v>237</v>
      </c>
      <c r="F114" s="37" t="s">
        <v>238</v>
      </c>
      <c r="G114" s="36" t="s">
        <v>32</v>
      </c>
      <c r="H114" s="74" t="s">
        <v>42</v>
      </c>
      <c r="I114" s="36">
        <v>82468</v>
      </c>
      <c r="J114" s="75">
        <f t="shared" si="17"/>
        <v>1145.3900000000001</v>
      </c>
      <c r="K114" s="76">
        <v>12.6</v>
      </c>
      <c r="L114" s="77">
        <f t="shared" si="18"/>
        <v>14432</v>
      </c>
      <c r="M114" s="102"/>
      <c r="N114" s="102"/>
      <c r="O114" s="102"/>
      <c r="P114" s="102"/>
      <c r="Q114" s="77">
        <f t="shared" si="22"/>
        <v>0</v>
      </c>
      <c r="R114" s="102"/>
      <c r="S114" s="102"/>
      <c r="T114" s="77"/>
      <c r="U114" s="77">
        <f t="shared" si="20"/>
        <v>1443</v>
      </c>
      <c r="V114" s="77">
        <f t="shared" si="21"/>
        <v>15875</v>
      </c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</row>
    <row r="115" spans="1:90" s="2" customFormat="1" ht="45.75" customHeight="1">
      <c r="A115" s="102">
        <v>9</v>
      </c>
      <c r="B115" s="83"/>
      <c r="C115" s="81" t="s">
        <v>296</v>
      </c>
      <c r="D115" s="37" t="s">
        <v>51</v>
      </c>
      <c r="E115" s="80" t="s">
        <v>132</v>
      </c>
      <c r="F115" s="80" t="s">
        <v>133</v>
      </c>
      <c r="G115" s="80" t="s">
        <v>175</v>
      </c>
      <c r="H115" s="74" t="s">
        <v>42</v>
      </c>
      <c r="I115" s="82">
        <v>85653</v>
      </c>
      <c r="J115" s="75">
        <f t="shared" si="17"/>
        <v>1189.6300000000001</v>
      </c>
      <c r="K115" s="76">
        <v>12.6</v>
      </c>
      <c r="L115" s="77">
        <f t="shared" si="18"/>
        <v>14989</v>
      </c>
      <c r="M115" s="102"/>
      <c r="N115" s="102"/>
      <c r="O115" s="102"/>
      <c r="P115" s="76"/>
      <c r="Q115" s="77">
        <f t="shared" si="22"/>
        <v>0</v>
      </c>
      <c r="R115" s="102"/>
      <c r="S115" s="102"/>
      <c r="T115" s="77"/>
      <c r="U115" s="77">
        <f t="shared" si="20"/>
        <v>1499</v>
      </c>
      <c r="V115" s="77">
        <f t="shared" si="21"/>
        <v>16488</v>
      </c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</row>
    <row r="116" spans="1:90" s="2" customFormat="1" ht="195.75" customHeight="1">
      <c r="A116" s="79">
        <v>10</v>
      </c>
      <c r="B116" s="80"/>
      <c r="C116" s="81" t="s">
        <v>461</v>
      </c>
      <c r="D116" s="37" t="s">
        <v>51</v>
      </c>
      <c r="E116" s="80" t="s">
        <v>26</v>
      </c>
      <c r="F116" s="80" t="s">
        <v>124</v>
      </c>
      <c r="G116" s="80" t="s">
        <v>173</v>
      </c>
      <c r="H116" s="82" t="s">
        <v>42</v>
      </c>
      <c r="I116" s="74">
        <v>92201</v>
      </c>
      <c r="J116" s="75">
        <f t="shared" si="17"/>
        <v>1280.57</v>
      </c>
      <c r="K116" s="102">
        <f>13.2+5.2+10</f>
        <v>28.4</v>
      </c>
      <c r="L116" s="77">
        <f t="shared" si="18"/>
        <v>36368</v>
      </c>
      <c r="M116" s="102"/>
      <c r="N116" s="102"/>
      <c r="O116" s="102"/>
      <c r="P116" s="102"/>
      <c r="Q116" s="77">
        <f t="shared" si="22"/>
        <v>0</v>
      </c>
      <c r="R116" s="102"/>
      <c r="S116" s="102"/>
      <c r="T116" s="77"/>
      <c r="U116" s="77">
        <f t="shared" si="20"/>
        <v>3637</v>
      </c>
      <c r="V116" s="77">
        <f t="shared" si="21"/>
        <v>40005</v>
      </c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</row>
    <row r="117" spans="1:90" s="2" customFormat="1" ht="113.25" customHeight="1">
      <c r="A117" s="102">
        <v>11</v>
      </c>
      <c r="B117" s="80"/>
      <c r="C117" s="80" t="s">
        <v>534</v>
      </c>
      <c r="D117" s="37" t="s">
        <v>51</v>
      </c>
      <c r="E117" s="37" t="s">
        <v>26</v>
      </c>
      <c r="F117" s="37" t="s">
        <v>27</v>
      </c>
      <c r="G117" s="80" t="s">
        <v>140</v>
      </c>
      <c r="H117" s="82" t="s">
        <v>25</v>
      </c>
      <c r="I117" s="82">
        <v>92201</v>
      </c>
      <c r="J117" s="75">
        <f t="shared" si="17"/>
        <v>1280.57</v>
      </c>
      <c r="K117" s="76">
        <f>15+14.4</f>
        <v>29.4</v>
      </c>
      <c r="L117" s="77">
        <f t="shared" si="18"/>
        <v>37649</v>
      </c>
      <c r="M117" s="102">
        <v>4424</v>
      </c>
      <c r="N117" s="102"/>
      <c r="O117" s="102"/>
      <c r="P117" s="102"/>
      <c r="Q117" s="77">
        <f t="shared" si="22"/>
        <v>0</v>
      </c>
      <c r="R117" s="102"/>
      <c r="S117" s="102"/>
      <c r="T117" s="77"/>
      <c r="U117" s="77">
        <f t="shared" si="20"/>
        <v>3765</v>
      </c>
      <c r="V117" s="77">
        <f t="shared" si="21"/>
        <v>45838</v>
      </c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</row>
    <row r="118" spans="1:90" s="2" customFormat="1" ht="113.25" customHeight="1">
      <c r="A118" s="79">
        <v>12</v>
      </c>
      <c r="B118" s="80"/>
      <c r="C118" s="80" t="s">
        <v>466</v>
      </c>
      <c r="D118" s="37" t="s">
        <v>51</v>
      </c>
      <c r="E118" s="37" t="s">
        <v>38</v>
      </c>
      <c r="F118" s="80" t="s">
        <v>82</v>
      </c>
      <c r="G118" s="80" t="s">
        <v>159</v>
      </c>
      <c r="H118" s="82" t="s">
        <v>25</v>
      </c>
      <c r="I118" s="82">
        <v>93971</v>
      </c>
      <c r="J118" s="109">
        <f t="shared" si="17"/>
        <v>1305.1500000000001</v>
      </c>
      <c r="K118" s="76">
        <f>15+8.6</f>
        <v>23.6</v>
      </c>
      <c r="L118" s="77">
        <f t="shared" si="18"/>
        <v>30802</v>
      </c>
      <c r="M118" s="102"/>
      <c r="N118" s="102"/>
      <c r="O118" s="102"/>
      <c r="P118" s="102"/>
      <c r="Q118" s="77">
        <f t="shared" si="22"/>
        <v>0</v>
      </c>
      <c r="R118" s="102"/>
      <c r="S118" s="102"/>
      <c r="T118" s="77"/>
      <c r="U118" s="77">
        <f t="shared" si="20"/>
        <v>3080</v>
      </c>
      <c r="V118" s="77">
        <f t="shared" si="21"/>
        <v>33882</v>
      </c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</row>
    <row r="119" spans="1:90" s="2" customFormat="1" ht="88.5" customHeight="1">
      <c r="A119" s="102">
        <v>13</v>
      </c>
      <c r="B119" s="80"/>
      <c r="C119" s="81" t="s">
        <v>467</v>
      </c>
      <c r="D119" s="37" t="s">
        <v>51</v>
      </c>
      <c r="E119" s="80" t="s">
        <v>70</v>
      </c>
      <c r="F119" s="80" t="s">
        <v>71</v>
      </c>
      <c r="G119" s="80" t="s">
        <v>153</v>
      </c>
      <c r="H119" s="74" t="s">
        <v>25</v>
      </c>
      <c r="I119" s="82">
        <v>89016</v>
      </c>
      <c r="J119" s="75">
        <f t="shared" si="17"/>
        <v>1236.33</v>
      </c>
      <c r="K119" s="102">
        <v>14.4</v>
      </c>
      <c r="L119" s="77">
        <f t="shared" si="18"/>
        <v>17803</v>
      </c>
      <c r="M119" s="102"/>
      <c r="N119" s="102"/>
      <c r="O119" s="102"/>
      <c r="P119" s="102"/>
      <c r="Q119" s="77">
        <f t="shared" si="22"/>
        <v>0</v>
      </c>
      <c r="R119" s="102"/>
      <c r="S119" s="102"/>
      <c r="T119" s="77"/>
      <c r="U119" s="77">
        <f t="shared" si="20"/>
        <v>1780</v>
      </c>
      <c r="V119" s="77">
        <f t="shared" si="21"/>
        <v>19583</v>
      </c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</row>
    <row r="120" spans="1:90" s="2" customFormat="1" ht="90.75" customHeight="1">
      <c r="A120" s="79">
        <v>14</v>
      </c>
      <c r="B120" s="37"/>
      <c r="C120" s="81" t="s">
        <v>468</v>
      </c>
      <c r="D120" s="37" t="s">
        <v>51</v>
      </c>
      <c r="E120" s="37" t="s">
        <v>38</v>
      </c>
      <c r="F120" s="37" t="s">
        <v>39</v>
      </c>
      <c r="G120" s="37" t="s">
        <v>143</v>
      </c>
      <c r="H120" s="82" t="s">
        <v>25</v>
      </c>
      <c r="I120" s="82">
        <v>84061</v>
      </c>
      <c r="J120" s="106">
        <f t="shared" si="17"/>
        <v>1167.51</v>
      </c>
      <c r="K120" s="76">
        <v>11.6</v>
      </c>
      <c r="L120" s="77">
        <f t="shared" si="18"/>
        <v>13543</v>
      </c>
      <c r="M120" s="102"/>
      <c r="N120" s="102">
        <v>4424</v>
      </c>
      <c r="O120" s="102"/>
      <c r="P120" s="102"/>
      <c r="Q120" s="77">
        <f t="shared" si="22"/>
        <v>0</v>
      </c>
      <c r="R120" s="102"/>
      <c r="S120" s="102"/>
      <c r="T120" s="77"/>
      <c r="U120" s="77">
        <f t="shared" si="20"/>
        <v>1354</v>
      </c>
      <c r="V120" s="77">
        <f t="shared" si="21"/>
        <v>19321</v>
      </c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</row>
    <row r="121" spans="1:90" s="2" customFormat="1" ht="81" customHeight="1">
      <c r="A121" s="102">
        <v>15</v>
      </c>
      <c r="B121" s="37"/>
      <c r="C121" s="37" t="s">
        <v>469</v>
      </c>
      <c r="D121" s="37" t="s">
        <v>51</v>
      </c>
      <c r="E121" s="37" t="s">
        <v>65</v>
      </c>
      <c r="F121" s="36" t="s">
        <v>66</v>
      </c>
      <c r="G121" s="80" t="s">
        <v>123</v>
      </c>
      <c r="H121" s="82" t="s">
        <v>42</v>
      </c>
      <c r="I121" s="74">
        <v>89016</v>
      </c>
      <c r="J121" s="75">
        <f t="shared" si="17"/>
        <v>1236.33</v>
      </c>
      <c r="K121" s="76">
        <v>15.8</v>
      </c>
      <c r="L121" s="77">
        <f t="shared" si="18"/>
        <v>19534</v>
      </c>
      <c r="M121" s="102"/>
      <c r="N121" s="102"/>
      <c r="O121" s="102"/>
      <c r="P121" s="102"/>
      <c r="Q121" s="77">
        <f t="shared" si="22"/>
        <v>0</v>
      </c>
      <c r="R121" s="102"/>
      <c r="S121" s="102"/>
      <c r="T121" s="77"/>
      <c r="U121" s="77">
        <f t="shared" si="20"/>
        <v>1953</v>
      </c>
      <c r="V121" s="77">
        <f t="shared" si="21"/>
        <v>21487</v>
      </c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</row>
    <row r="122" spans="1:90" s="2" customFormat="1" ht="107.25" customHeight="1">
      <c r="A122" s="79">
        <v>16</v>
      </c>
      <c r="B122" s="86"/>
      <c r="C122" s="87" t="s">
        <v>470</v>
      </c>
      <c r="D122" s="37" t="s">
        <v>51</v>
      </c>
      <c r="E122" s="86" t="s">
        <v>26</v>
      </c>
      <c r="F122" s="86" t="s">
        <v>48</v>
      </c>
      <c r="G122" s="86" t="s">
        <v>145</v>
      </c>
      <c r="H122" s="88" t="s">
        <v>25</v>
      </c>
      <c r="I122" s="88">
        <v>85653</v>
      </c>
      <c r="J122" s="109">
        <f t="shared" si="17"/>
        <v>1189.6300000000001</v>
      </c>
      <c r="K122" s="325">
        <v>4</v>
      </c>
      <c r="L122" s="110">
        <f t="shared" si="18"/>
        <v>4759</v>
      </c>
      <c r="M122" s="101"/>
      <c r="N122" s="101"/>
      <c r="O122" s="101"/>
      <c r="P122" s="101"/>
      <c r="Q122" s="110">
        <f t="shared" si="22"/>
        <v>0</v>
      </c>
      <c r="R122" s="101"/>
      <c r="S122" s="101"/>
      <c r="T122" s="110"/>
      <c r="U122" s="77">
        <f t="shared" si="20"/>
        <v>476</v>
      </c>
      <c r="V122" s="77">
        <f t="shared" si="21"/>
        <v>5235</v>
      </c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</row>
    <row r="123" spans="1:90" s="2" customFormat="1" ht="87" customHeight="1">
      <c r="A123" s="79"/>
      <c r="B123" s="83"/>
      <c r="C123" s="37" t="s">
        <v>355</v>
      </c>
      <c r="D123" s="102" t="s">
        <v>51</v>
      </c>
      <c r="E123" s="80" t="s">
        <v>136</v>
      </c>
      <c r="F123" s="37" t="s">
        <v>137</v>
      </c>
      <c r="G123" s="80" t="s">
        <v>176</v>
      </c>
      <c r="H123" s="82" t="s">
        <v>42</v>
      </c>
      <c r="I123" s="74">
        <v>90609</v>
      </c>
      <c r="J123" s="109">
        <f t="shared" si="17"/>
        <v>1258.46</v>
      </c>
      <c r="K123" s="325">
        <v>3.4</v>
      </c>
      <c r="L123" s="110">
        <f t="shared" si="18"/>
        <v>4279</v>
      </c>
      <c r="M123" s="101"/>
      <c r="N123" s="101"/>
      <c r="O123" s="101"/>
      <c r="P123" s="101"/>
      <c r="Q123" s="110">
        <f t="shared" si="22"/>
        <v>0</v>
      </c>
      <c r="R123" s="101"/>
      <c r="S123" s="101"/>
      <c r="T123" s="110"/>
      <c r="U123" s="77">
        <f t="shared" si="20"/>
        <v>428</v>
      </c>
      <c r="V123" s="77">
        <f t="shared" si="21"/>
        <v>4707</v>
      </c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</row>
    <row r="124" spans="1:90" s="2" customFormat="1" ht="65.25" customHeight="1">
      <c r="A124" s="79"/>
      <c r="B124" s="37"/>
      <c r="C124" s="81" t="s">
        <v>347</v>
      </c>
      <c r="D124" s="102" t="s">
        <v>51</v>
      </c>
      <c r="E124" s="72" t="s">
        <v>232</v>
      </c>
      <c r="F124" s="37" t="s">
        <v>233</v>
      </c>
      <c r="G124" s="36" t="s">
        <v>180</v>
      </c>
      <c r="H124" s="74" t="s">
        <v>42</v>
      </c>
      <c r="I124" s="36">
        <v>90609</v>
      </c>
      <c r="J124" s="109">
        <f t="shared" si="17"/>
        <v>1258.46</v>
      </c>
      <c r="K124" s="325">
        <v>3.6</v>
      </c>
      <c r="L124" s="110">
        <f t="shared" si="18"/>
        <v>4530</v>
      </c>
      <c r="M124" s="101"/>
      <c r="N124" s="101"/>
      <c r="O124" s="101"/>
      <c r="P124" s="101"/>
      <c r="Q124" s="110">
        <f t="shared" si="22"/>
        <v>0</v>
      </c>
      <c r="R124" s="101"/>
      <c r="S124" s="101"/>
      <c r="T124" s="110"/>
      <c r="U124" s="77">
        <f t="shared" si="20"/>
        <v>453</v>
      </c>
      <c r="V124" s="77">
        <f t="shared" si="21"/>
        <v>4983</v>
      </c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</row>
    <row r="125" spans="1:90" s="2" customFormat="1" ht="67.5" customHeight="1">
      <c r="A125" s="102">
        <v>17</v>
      </c>
      <c r="B125" s="37"/>
      <c r="C125" s="93" t="s">
        <v>464</v>
      </c>
      <c r="D125" s="102" t="s">
        <v>51</v>
      </c>
      <c r="E125" s="94"/>
      <c r="F125" s="94"/>
      <c r="G125" s="36" t="s">
        <v>50</v>
      </c>
      <c r="H125" s="82" t="s">
        <v>42</v>
      </c>
      <c r="I125" s="36">
        <v>85653</v>
      </c>
      <c r="J125" s="75">
        <f>I125/72</f>
        <v>1189.6300000000001</v>
      </c>
      <c r="K125" s="102">
        <f>1.8+10+7.2</f>
        <v>19</v>
      </c>
      <c r="L125" s="77">
        <f>J125*K125</f>
        <v>22603</v>
      </c>
      <c r="M125" s="102"/>
      <c r="N125" s="102"/>
      <c r="O125" s="102"/>
      <c r="P125" s="102"/>
      <c r="Q125" s="77">
        <f>17697*20%/72*P125</f>
        <v>0</v>
      </c>
      <c r="R125" s="102"/>
      <c r="S125" s="102"/>
      <c r="T125" s="77"/>
      <c r="U125" s="77">
        <f t="shared" si="20"/>
        <v>2260</v>
      </c>
      <c r="V125" s="77">
        <f t="shared" si="21"/>
        <v>24863</v>
      </c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</row>
    <row r="126" spans="1:90" s="2" customFormat="1">
      <c r="A126" s="104"/>
      <c r="B126" s="104" t="s">
        <v>8</v>
      </c>
      <c r="C126" s="102"/>
      <c r="D126" s="102"/>
      <c r="E126" s="102"/>
      <c r="F126" s="102"/>
      <c r="G126" s="104"/>
      <c r="H126" s="102"/>
      <c r="I126" s="102"/>
      <c r="J126" s="75"/>
      <c r="K126" s="76">
        <f>SUM(K107:K125)</f>
        <v>214.6</v>
      </c>
      <c r="L126" s="76">
        <f t="shared" ref="L126:V126" si="23">SUM(L107:L125)</f>
        <v>266518</v>
      </c>
      <c r="M126" s="76">
        <f t="shared" si="23"/>
        <v>4424</v>
      </c>
      <c r="N126" s="76">
        <f t="shared" si="23"/>
        <v>4424</v>
      </c>
      <c r="O126" s="76">
        <f t="shared" si="23"/>
        <v>115</v>
      </c>
      <c r="P126" s="75">
        <f t="shared" si="23"/>
        <v>19.28</v>
      </c>
      <c r="Q126" s="76">
        <f t="shared" si="23"/>
        <v>1058</v>
      </c>
      <c r="R126" s="76">
        <f t="shared" si="23"/>
        <v>0</v>
      </c>
      <c r="S126" s="76">
        <f t="shared" si="23"/>
        <v>0</v>
      </c>
      <c r="T126" s="76">
        <f t="shared" si="23"/>
        <v>0</v>
      </c>
      <c r="U126" s="76">
        <f t="shared" si="23"/>
        <v>26650</v>
      </c>
      <c r="V126" s="76">
        <f t="shared" si="23"/>
        <v>303074</v>
      </c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</row>
    <row r="127" spans="1:90" s="2" customFormat="1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6" t="s">
        <v>213</v>
      </c>
      <c r="P127" s="96"/>
      <c r="Q127" s="96"/>
      <c r="R127" s="96"/>
      <c r="S127" s="97"/>
      <c r="T127" s="97"/>
      <c r="U127" s="98"/>
      <c r="V127" s="9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</row>
    <row r="128" spans="1:90" s="2" customFormat="1" ht="34.5" customHeight="1">
      <c r="A128" s="69" t="s">
        <v>0</v>
      </c>
      <c r="B128" s="69"/>
      <c r="C128" s="69"/>
      <c r="D128" s="69"/>
      <c r="E128" s="70"/>
      <c r="F128" s="70"/>
      <c r="G128" s="70"/>
      <c r="H128" s="70"/>
      <c r="I128" s="70"/>
      <c r="J128" s="70"/>
      <c r="K128" s="70"/>
      <c r="L128" s="70"/>
      <c r="M128" s="70"/>
      <c r="N128" s="69" t="s">
        <v>1</v>
      </c>
      <c r="O128" s="69"/>
      <c r="P128" s="69"/>
      <c r="Q128" s="69"/>
      <c r="R128" s="69"/>
      <c r="S128" s="69"/>
      <c r="T128" s="69"/>
      <c r="U128" s="70"/>
      <c r="V128" s="100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</row>
    <row r="129" spans="1:90" s="2" customFormat="1">
      <c r="A129" s="69" t="s">
        <v>2</v>
      </c>
      <c r="B129" s="69"/>
      <c r="C129" s="69"/>
      <c r="D129" s="69"/>
      <c r="E129" s="70"/>
      <c r="F129" s="70"/>
      <c r="G129" s="70"/>
      <c r="H129" s="70"/>
      <c r="I129" s="70"/>
      <c r="J129" s="70"/>
      <c r="K129" s="70"/>
      <c r="L129" s="70"/>
      <c r="M129" s="70"/>
      <c r="N129" s="69" t="s">
        <v>3</v>
      </c>
      <c r="O129" s="69"/>
      <c r="P129" s="69"/>
      <c r="Q129" s="69"/>
      <c r="R129" s="69"/>
      <c r="S129" s="69"/>
      <c r="T129" s="69"/>
      <c r="U129" s="70"/>
      <c r="V129" s="100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</row>
    <row r="130" spans="1:90" s="2" customFormat="1">
      <c r="A130" s="69"/>
      <c r="B130" s="69"/>
      <c r="C130" s="69"/>
      <c r="D130" s="69"/>
      <c r="E130" s="70"/>
      <c r="F130" s="70"/>
      <c r="G130" s="70"/>
      <c r="H130" s="70"/>
      <c r="I130" s="70"/>
      <c r="J130" s="70"/>
      <c r="K130" s="70"/>
      <c r="L130" s="70"/>
      <c r="M130" s="70"/>
      <c r="N130" s="68" t="s">
        <v>4</v>
      </c>
      <c r="O130" s="68"/>
      <c r="P130" s="68"/>
      <c r="Q130" s="68"/>
      <c r="R130" s="68"/>
      <c r="S130" s="68"/>
      <c r="T130" s="68"/>
      <c r="U130" s="70"/>
      <c r="V130" s="100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</row>
    <row r="131" spans="1:90" s="2" customFormat="1">
      <c r="A131" s="69" t="s">
        <v>5</v>
      </c>
      <c r="B131" s="69"/>
      <c r="C131" s="69" t="s">
        <v>6</v>
      </c>
      <c r="D131" s="69"/>
      <c r="E131" s="462" t="s">
        <v>183</v>
      </c>
      <c r="F131" s="462"/>
      <c r="G131" s="462"/>
      <c r="H131" s="462"/>
      <c r="I131" s="462"/>
      <c r="J131" s="462"/>
      <c r="K131" s="462"/>
      <c r="L131" s="462"/>
      <c r="M131" s="70"/>
      <c r="N131" s="69" t="s">
        <v>139</v>
      </c>
      <c r="O131" s="69"/>
      <c r="P131" s="69"/>
      <c r="Q131" s="69"/>
      <c r="R131" s="69"/>
      <c r="S131" s="69"/>
      <c r="T131" s="69"/>
      <c r="U131" s="70"/>
      <c r="V131" s="100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</row>
    <row r="132" spans="1:90" s="2" customFormat="1">
      <c r="A132" s="69"/>
      <c r="B132" s="69"/>
      <c r="C132" s="69"/>
      <c r="D132" s="69"/>
      <c r="E132" s="463" t="s">
        <v>184</v>
      </c>
      <c r="F132" s="463"/>
      <c r="G132" s="463"/>
      <c r="H132" s="463"/>
      <c r="I132" s="463"/>
      <c r="J132" s="463"/>
      <c r="K132" s="463"/>
      <c r="L132" s="463"/>
      <c r="M132" s="463"/>
      <c r="N132" s="70"/>
      <c r="O132" s="70"/>
      <c r="P132" s="70"/>
      <c r="Q132" s="70"/>
      <c r="R132" s="70"/>
      <c r="S132" s="70"/>
      <c r="T132" s="70"/>
      <c r="U132" s="70"/>
      <c r="V132" s="100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</row>
    <row r="133" spans="1:90" s="2" customFormat="1">
      <c r="A133" s="70"/>
      <c r="B133" s="70"/>
      <c r="C133" s="70"/>
      <c r="D133" s="70"/>
      <c r="E133" s="464" t="s">
        <v>219</v>
      </c>
      <c r="F133" s="464"/>
      <c r="G133" s="464"/>
      <c r="H133" s="464"/>
      <c r="I133" s="464"/>
      <c r="J133" s="464"/>
      <c r="K133" s="464"/>
      <c r="L133" s="464"/>
      <c r="M133" s="464"/>
      <c r="N133" s="70"/>
      <c r="O133" s="70"/>
      <c r="P133" s="70"/>
      <c r="Q133" s="70"/>
      <c r="R133" s="70"/>
      <c r="S133" s="70"/>
      <c r="T133" s="70"/>
      <c r="U133" s="70"/>
      <c r="V133" s="100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</row>
    <row r="134" spans="1:90" s="2" customFormat="1">
      <c r="A134" s="70"/>
      <c r="B134" s="70"/>
      <c r="C134" s="70"/>
      <c r="D134" s="70"/>
      <c r="E134" s="464" t="s">
        <v>7</v>
      </c>
      <c r="F134" s="464"/>
      <c r="G134" s="464"/>
      <c r="H134" s="464"/>
      <c r="I134" s="464"/>
      <c r="J134" s="464"/>
      <c r="K134" s="464"/>
      <c r="L134" s="464"/>
      <c r="M134" s="464"/>
      <c r="N134" s="70"/>
      <c r="O134" s="70"/>
      <c r="P134" s="70"/>
      <c r="Q134" s="70"/>
      <c r="R134" s="70"/>
      <c r="S134" s="70"/>
      <c r="T134" s="70"/>
      <c r="U134" s="70"/>
      <c r="V134" s="100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</row>
    <row r="135" spans="1:90" s="2" customFormat="1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 t="s">
        <v>185</v>
      </c>
      <c r="R135" s="70"/>
      <c r="S135" s="70"/>
      <c r="T135" s="70"/>
      <c r="U135" s="70"/>
      <c r="V135" s="100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</row>
    <row r="136" spans="1:90" s="2" customFormat="1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 t="s">
        <v>265</v>
      </c>
      <c r="R136" s="70"/>
      <c r="S136" s="70"/>
      <c r="T136" s="70"/>
      <c r="U136" s="70"/>
      <c r="V136" s="100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</row>
    <row r="137" spans="1:90" s="2" customFormat="1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 t="s">
        <v>186</v>
      </c>
      <c r="R137" s="70"/>
      <c r="S137" s="70"/>
      <c r="T137" s="70" t="s">
        <v>187</v>
      </c>
      <c r="U137" s="70"/>
      <c r="V137" s="100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</row>
    <row r="138" spans="1:90" s="2" customFormat="1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 t="s">
        <v>188</v>
      </c>
      <c r="R138" s="70"/>
      <c r="S138" s="70"/>
      <c r="T138" s="70">
        <v>3</v>
      </c>
      <c r="U138" s="70"/>
      <c r="V138" s="100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</row>
    <row r="139" spans="1:90" s="2" customFormat="1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 t="s">
        <v>189</v>
      </c>
      <c r="R139" s="70"/>
      <c r="S139" s="70"/>
      <c r="T139" s="70">
        <v>26</v>
      </c>
      <c r="U139" s="70" t="s">
        <v>190</v>
      </c>
      <c r="V139" s="100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</row>
    <row r="140" spans="1:90" s="2" customFormat="1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 t="s">
        <v>191</v>
      </c>
      <c r="R140" s="70"/>
      <c r="S140" s="70"/>
      <c r="T140" s="70">
        <v>26</v>
      </c>
      <c r="U140" s="70">
        <f>T140*100/T139</f>
        <v>100</v>
      </c>
      <c r="V140" s="100" t="s">
        <v>17</v>
      </c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</row>
    <row r="141" spans="1:90" s="2" customFormat="1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 t="s">
        <v>192</v>
      </c>
      <c r="R141" s="70"/>
      <c r="S141" s="70"/>
      <c r="T141" s="70">
        <v>0</v>
      </c>
      <c r="U141" s="70">
        <f>T141*100/T139</f>
        <v>0</v>
      </c>
      <c r="V141" s="100" t="s">
        <v>17</v>
      </c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</row>
    <row r="142" spans="1:90" s="2" customFormat="1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 t="s">
        <v>193</v>
      </c>
      <c r="R142" s="70"/>
      <c r="S142" s="70"/>
      <c r="T142" s="324">
        <f>K156</f>
        <v>163</v>
      </c>
      <c r="U142" s="70"/>
      <c r="V142" s="100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</row>
    <row r="143" spans="1:90" s="2" customFormat="1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100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</row>
    <row r="144" spans="1:90" s="2" customFormat="1">
      <c r="A144" s="70"/>
      <c r="B144" s="70" t="s">
        <v>471</v>
      </c>
      <c r="C144" s="70" t="s">
        <v>194</v>
      </c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100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</row>
    <row r="145" spans="1:90" s="2" customFormat="1">
      <c r="A145" s="459" t="s">
        <v>195</v>
      </c>
      <c r="B145" s="459" t="s">
        <v>196</v>
      </c>
      <c r="C145" s="459" t="s">
        <v>197</v>
      </c>
      <c r="D145" s="459" t="s">
        <v>198</v>
      </c>
      <c r="E145" s="459" t="s">
        <v>10</v>
      </c>
      <c r="F145" s="459" t="s">
        <v>199</v>
      </c>
      <c r="G145" s="459" t="s">
        <v>200</v>
      </c>
      <c r="H145" s="459" t="s">
        <v>201</v>
      </c>
      <c r="I145" s="459" t="s">
        <v>202</v>
      </c>
      <c r="J145" s="459" t="s">
        <v>11</v>
      </c>
      <c r="K145" s="459" t="s">
        <v>203</v>
      </c>
      <c r="L145" s="459" t="s">
        <v>12</v>
      </c>
      <c r="M145" s="458" t="s">
        <v>204</v>
      </c>
      <c r="N145" s="458"/>
      <c r="O145" s="458"/>
      <c r="P145" s="458"/>
      <c r="Q145" s="458"/>
      <c r="R145" s="458"/>
      <c r="S145" s="458"/>
      <c r="T145" s="458"/>
      <c r="U145" s="459" t="s">
        <v>205</v>
      </c>
      <c r="V145" s="479" t="s">
        <v>206</v>
      </c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</row>
    <row r="146" spans="1:90" s="2" customFormat="1">
      <c r="A146" s="460"/>
      <c r="B146" s="460"/>
      <c r="C146" s="460"/>
      <c r="D146" s="460"/>
      <c r="E146" s="460"/>
      <c r="F146" s="460"/>
      <c r="G146" s="460"/>
      <c r="H146" s="460"/>
      <c r="I146" s="460"/>
      <c r="J146" s="460"/>
      <c r="K146" s="460"/>
      <c r="L146" s="460"/>
      <c r="M146" s="459" t="s">
        <v>207</v>
      </c>
      <c r="N146" s="459" t="s">
        <v>15</v>
      </c>
      <c r="O146" s="458" t="s">
        <v>16</v>
      </c>
      <c r="P146" s="458"/>
      <c r="Q146" s="458"/>
      <c r="R146" s="459"/>
      <c r="S146" s="459"/>
      <c r="T146" s="459"/>
      <c r="U146" s="460"/>
      <c r="V146" s="479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</row>
    <row r="147" spans="1:90" s="2" customFormat="1" ht="42.75" customHeight="1">
      <c r="A147" s="461"/>
      <c r="B147" s="461"/>
      <c r="C147" s="461"/>
      <c r="D147" s="461"/>
      <c r="E147" s="461"/>
      <c r="F147" s="461"/>
      <c r="G147" s="461"/>
      <c r="H147" s="461"/>
      <c r="I147" s="461"/>
      <c r="J147" s="461"/>
      <c r="K147" s="461"/>
      <c r="L147" s="461"/>
      <c r="M147" s="461"/>
      <c r="N147" s="461"/>
      <c r="O147" s="71" t="s">
        <v>17</v>
      </c>
      <c r="P147" s="71" t="s">
        <v>18</v>
      </c>
      <c r="Q147" s="71" t="s">
        <v>19</v>
      </c>
      <c r="R147" s="461"/>
      <c r="S147" s="461"/>
      <c r="T147" s="461"/>
      <c r="U147" s="461"/>
      <c r="V147" s="479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</row>
    <row r="148" spans="1:90" s="2" customFormat="1" ht="50.25" customHeight="1">
      <c r="A148" s="102">
        <v>1</v>
      </c>
      <c r="B148" s="80"/>
      <c r="C148" s="80" t="s">
        <v>296</v>
      </c>
      <c r="D148" s="37" t="s">
        <v>51</v>
      </c>
      <c r="E148" s="80" t="s">
        <v>115</v>
      </c>
      <c r="F148" s="80" t="s">
        <v>116</v>
      </c>
      <c r="G148" s="80" t="s">
        <v>89</v>
      </c>
      <c r="H148" s="74" t="s">
        <v>25</v>
      </c>
      <c r="I148" s="82">
        <v>93971</v>
      </c>
      <c r="J148" s="75">
        <f>I148/72</f>
        <v>1305.1500000000001</v>
      </c>
      <c r="K148" s="76">
        <v>6.4</v>
      </c>
      <c r="L148" s="77">
        <f>J148*K148</f>
        <v>8353</v>
      </c>
      <c r="M148" s="102"/>
      <c r="N148" s="102"/>
      <c r="O148" s="102"/>
      <c r="P148" s="102"/>
      <c r="Q148" s="77">
        <f>17697*25%/72*P148</f>
        <v>0</v>
      </c>
      <c r="R148" s="77"/>
      <c r="S148" s="77"/>
      <c r="T148" s="77"/>
      <c r="U148" s="77">
        <f>L148*10%</f>
        <v>835</v>
      </c>
      <c r="V148" s="77">
        <f>M148+N148+Q148+R148+T148+U148+S148+L148</f>
        <v>9188</v>
      </c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</row>
    <row r="149" spans="1:90" s="2" customFormat="1" ht="52.5" customHeight="1">
      <c r="A149" s="79">
        <v>2</v>
      </c>
      <c r="B149" s="84"/>
      <c r="C149" s="80" t="s">
        <v>296</v>
      </c>
      <c r="D149" s="37" t="s">
        <v>51</v>
      </c>
      <c r="E149" s="84" t="s">
        <v>101</v>
      </c>
      <c r="F149" s="84" t="s">
        <v>102</v>
      </c>
      <c r="G149" s="84" t="s">
        <v>166</v>
      </c>
      <c r="H149" s="74" t="s">
        <v>25</v>
      </c>
      <c r="I149" s="82">
        <v>92201</v>
      </c>
      <c r="J149" s="75">
        <f t="shared" ref="J149:J154" si="24">I149/72</f>
        <v>1280.57</v>
      </c>
      <c r="K149" s="76">
        <v>6.4</v>
      </c>
      <c r="L149" s="77">
        <f t="shared" ref="L149:L154" si="25">J149*K149</f>
        <v>8196</v>
      </c>
      <c r="M149" s="102"/>
      <c r="N149" s="102"/>
      <c r="O149" s="102"/>
      <c r="P149" s="102"/>
      <c r="Q149" s="77">
        <f t="shared" ref="Q149" si="26">17697*25%/72*P149</f>
        <v>0</v>
      </c>
      <c r="R149" s="102"/>
      <c r="S149" s="102"/>
      <c r="T149" s="77"/>
      <c r="U149" s="77">
        <f t="shared" ref="U149:U155" si="27">L149*10%</f>
        <v>820</v>
      </c>
      <c r="V149" s="77">
        <f t="shared" ref="V149:V155" si="28">M149+N149+Q149+R149+T149+U149+S149+L149</f>
        <v>9016</v>
      </c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</row>
    <row r="150" spans="1:90" s="2" customFormat="1" ht="108" customHeight="1">
      <c r="A150" s="102">
        <v>3</v>
      </c>
      <c r="B150" s="83"/>
      <c r="C150" s="81" t="s">
        <v>344</v>
      </c>
      <c r="D150" s="37" t="s">
        <v>51</v>
      </c>
      <c r="E150" s="80" t="s">
        <v>126</v>
      </c>
      <c r="F150" s="37" t="s">
        <v>127</v>
      </c>
      <c r="G150" s="80" t="s">
        <v>41</v>
      </c>
      <c r="H150" s="82" t="s">
        <v>42</v>
      </c>
      <c r="I150" s="74">
        <v>93971</v>
      </c>
      <c r="J150" s="75">
        <f t="shared" si="24"/>
        <v>1305.1500000000001</v>
      </c>
      <c r="K150" s="76">
        <v>3.6</v>
      </c>
      <c r="L150" s="77">
        <f t="shared" si="25"/>
        <v>4699</v>
      </c>
      <c r="M150" s="102"/>
      <c r="N150" s="102"/>
      <c r="O150" s="102"/>
      <c r="P150" s="102"/>
      <c r="Q150" s="77">
        <f>17697*25%/72*P150</f>
        <v>0</v>
      </c>
      <c r="R150" s="102"/>
      <c r="S150" s="102"/>
      <c r="T150" s="77"/>
      <c r="U150" s="77">
        <f t="shared" si="27"/>
        <v>470</v>
      </c>
      <c r="V150" s="77">
        <f t="shared" si="28"/>
        <v>5169</v>
      </c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</row>
    <row r="151" spans="1:90" s="2" customFormat="1" ht="139.5" customHeight="1">
      <c r="A151" s="79">
        <v>4</v>
      </c>
      <c r="B151" s="80"/>
      <c r="C151" s="80" t="s">
        <v>475</v>
      </c>
      <c r="D151" s="37" t="s">
        <v>51</v>
      </c>
      <c r="E151" s="37" t="s">
        <v>26</v>
      </c>
      <c r="F151" s="37" t="s">
        <v>27</v>
      </c>
      <c r="G151" s="80" t="s">
        <v>140</v>
      </c>
      <c r="H151" s="82" t="s">
        <v>25</v>
      </c>
      <c r="I151" s="82">
        <v>92201</v>
      </c>
      <c r="J151" s="75">
        <f t="shared" si="24"/>
        <v>1280.57</v>
      </c>
      <c r="K151" s="76">
        <f>8+10</f>
        <v>18</v>
      </c>
      <c r="L151" s="77">
        <f t="shared" si="25"/>
        <v>23050</v>
      </c>
      <c r="M151" s="102"/>
      <c r="N151" s="102"/>
      <c r="O151" s="102"/>
      <c r="P151" s="102"/>
      <c r="Q151" s="77">
        <f>17697*25%/72*P151</f>
        <v>0</v>
      </c>
      <c r="R151" s="102"/>
      <c r="S151" s="102"/>
      <c r="T151" s="77"/>
      <c r="U151" s="77">
        <f t="shared" si="27"/>
        <v>2305</v>
      </c>
      <c r="V151" s="77">
        <f t="shared" si="28"/>
        <v>25355</v>
      </c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</row>
    <row r="152" spans="1:90" s="2" customFormat="1" ht="102" customHeight="1">
      <c r="A152" s="102">
        <v>5</v>
      </c>
      <c r="B152" s="37"/>
      <c r="C152" s="81" t="s">
        <v>535</v>
      </c>
      <c r="D152" s="37" t="s">
        <v>51</v>
      </c>
      <c r="E152" s="37" t="s">
        <v>38</v>
      </c>
      <c r="F152" s="37" t="s">
        <v>39</v>
      </c>
      <c r="G152" s="37" t="s">
        <v>143</v>
      </c>
      <c r="H152" s="82" t="s">
        <v>25</v>
      </c>
      <c r="I152" s="82">
        <v>84061</v>
      </c>
      <c r="J152" s="75">
        <f t="shared" si="24"/>
        <v>1167.51</v>
      </c>
      <c r="K152" s="102">
        <v>57.2</v>
      </c>
      <c r="L152" s="77">
        <f t="shared" si="25"/>
        <v>66782</v>
      </c>
      <c r="M152" s="102">
        <v>4424</v>
      </c>
      <c r="N152" s="102"/>
      <c r="O152" s="102"/>
      <c r="P152" s="102"/>
      <c r="Q152" s="77">
        <f>17697*20%/72*P152</f>
        <v>0</v>
      </c>
      <c r="R152" s="102"/>
      <c r="S152" s="102"/>
      <c r="T152" s="77"/>
      <c r="U152" s="77">
        <f t="shared" si="27"/>
        <v>6678</v>
      </c>
      <c r="V152" s="77">
        <f t="shared" si="28"/>
        <v>77884</v>
      </c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</row>
    <row r="153" spans="1:90" s="2" customFormat="1" ht="51.75" customHeight="1">
      <c r="A153" s="79">
        <v>6</v>
      </c>
      <c r="B153" s="80"/>
      <c r="C153" s="81" t="s">
        <v>473</v>
      </c>
      <c r="D153" s="37" t="s">
        <v>51</v>
      </c>
      <c r="E153" s="80" t="s">
        <v>70</v>
      </c>
      <c r="F153" s="80" t="s">
        <v>71</v>
      </c>
      <c r="G153" s="80" t="s">
        <v>153</v>
      </c>
      <c r="H153" s="74" t="s">
        <v>25</v>
      </c>
      <c r="I153" s="82">
        <v>89016</v>
      </c>
      <c r="J153" s="75">
        <f t="shared" si="24"/>
        <v>1236.33</v>
      </c>
      <c r="K153" s="76">
        <v>24.8</v>
      </c>
      <c r="L153" s="77">
        <f t="shared" si="25"/>
        <v>30661</v>
      </c>
      <c r="M153" s="102"/>
      <c r="N153" s="102">
        <v>4424</v>
      </c>
      <c r="O153" s="102"/>
      <c r="P153" s="102"/>
      <c r="Q153" s="77">
        <f t="shared" ref="Q153:Q154" si="29">17697*20%/72*P153</f>
        <v>0</v>
      </c>
      <c r="R153" s="102"/>
      <c r="S153" s="102"/>
      <c r="T153" s="77"/>
      <c r="U153" s="77">
        <f t="shared" si="27"/>
        <v>3066</v>
      </c>
      <c r="V153" s="77">
        <f t="shared" si="28"/>
        <v>38151</v>
      </c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</row>
    <row r="154" spans="1:90" s="2" customFormat="1" ht="75.75" customHeight="1">
      <c r="A154" s="102">
        <v>7</v>
      </c>
      <c r="B154" s="80"/>
      <c r="C154" s="81" t="s">
        <v>474</v>
      </c>
      <c r="D154" s="37" t="s">
        <v>51</v>
      </c>
      <c r="E154" s="37" t="s">
        <v>38</v>
      </c>
      <c r="F154" s="80" t="s">
        <v>82</v>
      </c>
      <c r="G154" s="80" t="s">
        <v>159</v>
      </c>
      <c r="H154" s="82" t="s">
        <v>25</v>
      </c>
      <c r="I154" s="82">
        <v>93971</v>
      </c>
      <c r="J154" s="75">
        <f t="shared" si="24"/>
        <v>1305.1500000000001</v>
      </c>
      <c r="K154" s="76">
        <v>2.6</v>
      </c>
      <c r="L154" s="77">
        <f t="shared" si="25"/>
        <v>3393</v>
      </c>
      <c r="M154" s="102"/>
      <c r="N154" s="102"/>
      <c r="O154" s="102"/>
      <c r="P154" s="102"/>
      <c r="Q154" s="77">
        <f t="shared" si="29"/>
        <v>0</v>
      </c>
      <c r="R154" s="102"/>
      <c r="S154" s="102"/>
      <c r="T154" s="77"/>
      <c r="U154" s="77">
        <f t="shared" si="27"/>
        <v>339</v>
      </c>
      <c r="V154" s="77">
        <f t="shared" si="28"/>
        <v>3732</v>
      </c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</row>
    <row r="155" spans="1:90" s="2" customFormat="1" ht="68.25" customHeight="1">
      <c r="A155" s="73">
        <v>8</v>
      </c>
      <c r="B155" s="37"/>
      <c r="C155" s="93" t="s">
        <v>476</v>
      </c>
      <c r="D155" s="102" t="s">
        <v>51</v>
      </c>
      <c r="E155" s="94"/>
      <c r="F155" s="94"/>
      <c r="G155" s="36" t="s">
        <v>50</v>
      </c>
      <c r="H155" s="82" t="s">
        <v>42</v>
      </c>
      <c r="I155" s="36">
        <v>85653</v>
      </c>
      <c r="J155" s="75">
        <f>I155/72</f>
        <v>1189.6300000000001</v>
      </c>
      <c r="K155" s="102">
        <f>1.8+10+2.6+29.6</f>
        <v>44</v>
      </c>
      <c r="L155" s="77">
        <f>J155*K155</f>
        <v>52344</v>
      </c>
      <c r="M155" s="102"/>
      <c r="N155" s="102"/>
      <c r="O155" s="102"/>
      <c r="P155" s="102"/>
      <c r="Q155" s="77">
        <f>17697*20%/72*P155</f>
        <v>0</v>
      </c>
      <c r="R155" s="102"/>
      <c r="S155" s="102"/>
      <c r="T155" s="77"/>
      <c r="U155" s="77">
        <f t="shared" si="27"/>
        <v>5234</v>
      </c>
      <c r="V155" s="77">
        <f t="shared" si="28"/>
        <v>57578</v>
      </c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</row>
    <row r="156" spans="1:90" s="2" customFormat="1">
      <c r="A156" s="104"/>
      <c r="B156" s="104" t="s">
        <v>8</v>
      </c>
      <c r="C156" s="102"/>
      <c r="D156" s="102"/>
      <c r="E156" s="102"/>
      <c r="F156" s="102"/>
      <c r="G156" s="104"/>
      <c r="H156" s="102"/>
      <c r="I156" s="102"/>
      <c r="J156" s="75"/>
      <c r="K156" s="76">
        <f>SUM(K148:K155)</f>
        <v>163</v>
      </c>
      <c r="L156" s="76">
        <f t="shared" ref="L156:V156" si="30">SUM(L148:L155)</f>
        <v>197478</v>
      </c>
      <c r="M156" s="76">
        <f t="shared" si="30"/>
        <v>4424</v>
      </c>
      <c r="N156" s="76">
        <f t="shared" si="30"/>
        <v>4424</v>
      </c>
      <c r="O156" s="76">
        <f t="shared" si="30"/>
        <v>0</v>
      </c>
      <c r="P156" s="76">
        <f t="shared" si="30"/>
        <v>0</v>
      </c>
      <c r="Q156" s="76">
        <f t="shared" si="30"/>
        <v>0</v>
      </c>
      <c r="R156" s="76">
        <f t="shared" si="30"/>
        <v>0</v>
      </c>
      <c r="S156" s="76">
        <f t="shared" si="30"/>
        <v>0</v>
      </c>
      <c r="T156" s="76">
        <f t="shared" si="30"/>
        <v>0</v>
      </c>
      <c r="U156" s="76">
        <f t="shared" si="30"/>
        <v>19747</v>
      </c>
      <c r="V156" s="76">
        <f t="shared" si="30"/>
        <v>226073</v>
      </c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</row>
    <row r="157" spans="1:90" s="2" customFormat="1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6" t="s">
        <v>213</v>
      </c>
      <c r="P157" s="96"/>
      <c r="Q157" s="96"/>
      <c r="R157" s="96"/>
      <c r="S157" s="97"/>
      <c r="T157" s="97"/>
      <c r="U157" s="98"/>
      <c r="V157" s="9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</row>
    <row r="158" spans="1:90" s="2" customFormat="1">
      <c r="A158" s="69" t="s">
        <v>0</v>
      </c>
      <c r="B158" s="69"/>
      <c r="C158" s="69"/>
      <c r="D158" s="69"/>
      <c r="E158" s="70"/>
      <c r="F158" s="70"/>
      <c r="G158" s="70"/>
      <c r="H158" s="70"/>
      <c r="I158" s="70"/>
      <c r="J158" s="70"/>
      <c r="K158" s="70"/>
      <c r="L158" s="70"/>
      <c r="M158" s="70"/>
      <c r="N158" s="69" t="s">
        <v>1</v>
      </c>
      <c r="O158" s="69"/>
      <c r="P158" s="69"/>
      <c r="Q158" s="69"/>
      <c r="R158" s="69"/>
      <c r="S158" s="69"/>
      <c r="T158" s="69"/>
      <c r="U158" s="70"/>
      <c r="V158" s="100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</row>
    <row r="159" spans="1:90" s="2" customFormat="1">
      <c r="A159" s="69" t="s">
        <v>2</v>
      </c>
      <c r="B159" s="69"/>
      <c r="C159" s="69"/>
      <c r="D159" s="69"/>
      <c r="E159" s="70"/>
      <c r="F159" s="70"/>
      <c r="G159" s="70"/>
      <c r="H159" s="70"/>
      <c r="I159" s="70"/>
      <c r="J159" s="70"/>
      <c r="K159" s="70"/>
      <c r="L159" s="70"/>
      <c r="M159" s="70"/>
      <c r="N159" s="69" t="s">
        <v>3</v>
      </c>
      <c r="O159" s="69"/>
      <c r="P159" s="69"/>
      <c r="Q159" s="69"/>
      <c r="R159" s="69"/>
      <c r="S159" s="69"/>
      <c r="T159" s="69"/>
      <c r="U159" s="70"/>
      <c r="V159" s="100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</row>
    <row r="160" spans="1:90" s="2" customFormat="1">
      <c r="A160" s="69"/>
      <c r="B160" s="69"/>
      <c r="C160" s="69"/>
      <c r="D160" s="69"/>
      <c r="E160" s="70"/>
      <c r="F160" s="70"/>
      <c r="G160" s="70"/>
      <c r="H160" s="70"/>
      <c r="I160" s="70"/>
      <c r="J160" s="70"/>
      <c r="K160" s="70"/>
      <c r="L160" s="70"/>
      <c r="M160" s="70"/>
      <c r="N160" s="68" t="s">
        <v>4</v>
      </c>
      <c r="O160" s="68"/>
      <c r="P160" s="68"/>
      <c r="Q160" s="68"/>
      <c r="R160" s="68"/>
      <c r="S160" s="68"/>
      <c r="T160" s="68"/>
      <c r="U160" s="70"/>
      <c r="V160" s="100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</row>
    <row r="161" spans="1:90" s="2" customFormat="1">
      <c r="A161" s="69" t="s">
        <v>5</v>
      </c>
      <c r="B161" s="69"/>
      <c r="C161" s="69" t="s">
        <v>6</v>
      </c>
      <c r="D161" s="69"/>
      <c r="E161" s="462" t="s">
        <v>183</v>
      </c>
      <c r="F161" s="462"/>
      <c r="G161" s="462"/>
      <c r="H161" s="462"/>
      <c r="I161" s="462"/>
      <c r="J161" s="462"/>
      <c r="K161" s="462"/>
      <c r="L161" s="462"/>
      <c r="M161" s="70"/>
      <c r="N161" s="69" t="s">
        <v>139</v>
      </c>
      <c r="O161" s="69"/>
      <c r="P161" s="69"/>
      <c r="Q161" s="69"/>
      <c r="R161" s="69"/>
      <c r="S161" s="69"/>
      <c r="T161" s="69"/>
      <c r="U161" s="70"/>
      <c r="V161" s="100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</row>
    <row r="162" spans="1:90" s="2" customFormat="1">
      <c r="A162" s="69"/>
      <c r="B162" s="69"/>
      <c r="C162" s="69"/>
      <c r="D162" s="69"/>
      <c r="E162" s="463" t="s">
        <v>184</v>
      </c>
      <c r="F162" s="463"/>
      <c r="G162" s="463"/>
      <c r="H162" s="463"/>
      <c r="I162" s="463"/>
      <c r="J162" s="463"/>
      <c r="K162" s="463"/>
      <c r="L162" s="463"/>
      <c r="M162" s="463"/>
      <c r="N162" s="70"/>
      <c r="O162" s="70"/>
      <c r="P162" s="70"/>
      <c r="Q162" s="70"/>
      <c r="R162" s="70"/>
      <c r="S162" s="70"/>
      <c r="T162" s="70"/>
      <c r="U162" s="70"/>
      <c r="V162" s="100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</row>
    <row r="163" spans="1:90" s="2" customFormat="1">
      <c r="A163" s="70"/>
      <c r="B163" s="70"/>
      <c r="C163" s="70"/>
      <c r="D163" s="70"/>
      <c r="E163" s="464" t="s">
        <v>219</v>
      </c>
      <c r="F163" s="464"/>
      <c r="G163" s="464"/>
      <c r="H163" s="464"/>
      <c r="I163" s="464"/>
      <c r="J163" s="464"/>
      <c r="K163" s="464"/>
      <c r="L163" s="464"/>
      <c r="M163" s="464"/>
      <c r="N163" s="70"/>
      <c r="O163" s="70"/>
      <c r="P163" s="70"/>
      <c r="Q163" s="70"/>
      <c r="R163" s="70"/>
      <c r="S163" s="70"/>
      <c r="T163" s="70"/>
      <c r="U163" s="70"/>
      <c r="V163" s="100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</row>
    <row r="164" spans="1:90" s="2" customFormat="1">
      <c r="A164" s="70"/>
      <c r="B164" s="70"/>
      <c r="C164" s="70"/>
      <c r="D164" s="70"/>
      <c r="E164" s="464" t="s">
        <v>7</v>
      </c>
      <c r="F164" s="464"/>
      <c r="G164" s="464"/>
      <c r="H164" s="464"/>
      <c r="I164" s="464"/>
      <c r="J164" s="464"/>
      <c r="K164" s="464"/>
      <c r="L164" s="464"/>
      <c r="M164" s="464"/>
      <c r="N164" s="70"/>
      <c r="O164" s="70"/>
      <c r="P164" s="70"/>
      <c r="Q164" s="70"/>
      <c r="R164" s="70"/>
      <c r="S164" s="70"/>
      <c r="T164" s="70"/>
      <c r="U164" s="70"/>
      <c r="V164" s="100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</row>
    <row r="165" spans="1:90" s="2" customFormat="1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 t="s">
        <v>185</v>
      </c>
      <c r="R165" s="70"/>
      <c r="S165" s="70"/>
      <c r="T165" s="70"/>
      <c r="U165" s="70"/>
      <c r="V165" s="100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</row>
    <row r="166" spans="1:90" s="2" customFormat="1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 t="s">
        <v>265</v>
      </c>
      <c r="R166" s="70"/>
      <c r="S166" s="70"/>
      <c r="T166" s="70"/>
      <c r="U166" s="70"/>
      <c r="V166" s="100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</row>
    <row r="167" spans="1:90" s="2" customFormat="1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 t="s">
        <v>186</v>
      </c>
      <c r="R167" s="70"/>
      <c r="S167" s="70"/>
      <c r="T167" s="70" t="s">
        <v>187</v>
      </c>
      <c r="U167" s="70"/>
      <c r="V167" s="100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</row>
    <row r="168" spans="1:90" s="2" customFormat="1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 t="s">
        <v>188</v>
      </c>
      <c r="R168" s="70"/>
      <c r="S168" s="70"/>
      <c r="T168" s="70">
        <v>3</v>
      </c>
      <c r="U168" s="70"/>
      <c r="V168" s="100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</row>
    <row r="169" spans="1:90" s="2" customFormat="1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 t="s">
        <v>189</v>
      </c>
      <c r="R169" s="70"/>
      <c r="S169" s="70"/>
      <c r="T169" s="70">
        <v>15</v>
      </c>
      <c r="U169" s="70" t="s">
        <v>190</v>
      </c>
      <c r="V169" s="100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</row>
    <row r="170" spans="1:90" s="2" customFormat="1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 t="s">
        <v>191</v>
      </c>
      <c r="R170" s="70"/>
      <c r="S170" s="70"/>
      <c r="T170" s="70">
        <v>0</v>
      </c>
      <c r="U170" s="70">
        <f>T170*100/T169</f>
        <v>0</v>
      </c>
      <c r="V170" s="100" t="s">
        <v>17</v>
      </c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</row>
    <row r="171" spans="1:90" s="2" customFormat="1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 t="s">
        <v>192</v>
      </c>
      <c r="R171" s="70"/>
      <c r="S171" s="70"/>
      <c r="T171" s="70">
        <v>15</v>
      </c>
      <c r="U171" s="70">
        <f>T171*100/T169</f>
        <v>100</v>
      </c>
      <c r="V171" s="100" t="s">
        <v>17</v>
      </c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</row>
    <row r="172" spans="1:90" s="2" customFormat="1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 t="s">
        <v>193</v>
      </c>
      <c r="R172" s="70"/>
      <c r="S172" s="70"/>
      <c r="T172" s="324">
        <f>K187</f>
        <v>155.5</v>
      </c>
      <c r="U172" s="70"/>
      <c r="V172" s="100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</row>
    <row r="173" spans="1:90" s="2" customFormat="1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100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</row>
    <row r="174" spans="1:90" s="2" customFormat="1">
      <c r="A174" s="70"/>
      <c r="B174" s="70" t="s">
        <v>477</v>
      </c>
      <c r="C174" s="70" t="s">
        <v>194</v>
      </c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100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</row>
    <row r="175" spans="1:90" s="2" customFormat="1">
      <c r="A175" s="459" t="s">
        <v>195</v>
      </c>
      <c r="B175" s="459" t="s">
        <v>196</v>
      </c>
      <c r="C175" s="459" t="s">
        <v>197</v>
      </c>
      <c r="D175" s="459" t="s">
        <v>198</v>
      </c>
      <c r="E175" s="459" t="s">
        <v>10</v>
      </c>
      <c r="F175" s="459" t="s">
        <v>199</v>
      </c>
      <c r="G175" s="459" t="s">
        <v>200</v>
      </c>
      <c r="H175" s="459" t="s">
        <v>201</v>
      </c>
      <c r="I175" s="459" t="s">
        <v>202</v>
      </c>
      <c r="J175" s="459" t="s">
        <v>11</v>
      </c>
      <c r="K175" s="459" t="s">
        <v>203</v>
      </c>
      <c r="L175" s="459" t="s">
        <v>12</v>
      </c>
      <c r="M175" s="458" t="s">
        <v>204</v>
      </c>
      <c r="N175" s="458"/>
      <c r="O175" s="458"/>
      <c r="P175" s="458"/>
      <c r="Q175" s="458"/>
      <c r="R175" s="458"/>
      <c r="S175" s="458"/>
      <c r="T175" s="458"/>
      <c r="U175" s="459" t="s">
        <v>205</v>
      </c>
      <c r="V175" s="479" t="s">
        <v>206</v>
      </c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</row>
    <row r="176" spans="1:90" s="2" customFormat="1">
      <c r="A176" s="460"/>
      <c r="B176" s="460"/>
      <c r="C176" s="460"/>
      <c r="D176" s="460"/>
      <c r="E176" s="460"/>
      <c r="F176" s="460"/>
      <c r="G176" s="460"/>
      <c r="H176" s="460"/>
      <c r="I176" s="460"/>
      <c r="J176" s="460"/>
      <c r="K176" s="460"/>
      <c r="L176" s="460"/>
      <c r="M176" s="459" t="s">
        <v>207</v>
      </c>
      <c r="N176" s="459" t="s">
        <v>15</v>
      </c>
      <c r="O176" s="458" t="s">
        <v>16</v>
      </c>
      <c r="P176" s="458"/>
      <c r="Q176" s="458"/>
      <c r="R176" s="459"/>
      <c r="S176" s="459"/>
      <c r="T176" s="459"/>
      <c r="U176" s="460"/>
      <c r="V176" s="479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</row>
    <row r="177" spans="1:90" s="2" customFormat="1" ht="48" customHeight="1">
      <c r="A177" s="461"/>
      <c r="B177" s="461"/>
      <c r="C177" s="461"/>
      <c r="D177" s="461"/>
      <c r="E177" s="461"/>
      <c r="F177" s="461"/>
      <c r="G177" s="461"/>
      <c r="H177" s="461"/>
      <c r="I177" s="461"/>
      <c r="J177" s="461"/>
      <c r="K177" s="461"/>
      <c r="L177" s="461"/>
      <c r="M177" s="461"/>
      <c r="N177" s="461"/>
      <c r="O177" s="71" t="s">
        <v>17</v>
      </c>
      <c r="P177" s="71" t="s">
        <v>18</v>
      </c>
      <c r="Q177" s="71" t="s">
        <v>19</v>
      </c>
      <c r="R177" s="461"/>
      <c r="S177" s="461"/>
      <c r="T177" s="461"/>
      <c r="U177" s="461"/>
      <c r="V177" s="479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</row>
    <row r="178" spans="1:90" s="2" customFormat="1" ht="38.25">
      <c r="A178" s="102">
        <v>1</v>
      </c>
      <c r="B178" s="80"/>
      <c r="C178" s="80" t="s">
        <v>296</v>
      </c>
      <c r="D178" s="37" t="s">
        <v>51</v>
      </c>
      <c r="E178" s="80" t="s">
        <v>115</v>
      </c>
      <c r="F178" s="80" t="s">
        <v>116</v>
      </c>
      <c r="G178" s="80" t="s">
        <v>89</v>
      </c>
      <c r="H178" s="74" t="s">
        <v>25</v>
      </c>
      <c r="I178" s="82">
        <v>93971</v>
      </c>
      <c r="J178" s="75">
        <f>I178/72</f>
        <v>1305.1500000000001</v>
      </c>
      <c r="K178" s="76">
        <v>6.4</v>
      </c>
      <c r="L178" s="77">
        <f>J178*K178</f>
        <v>8353</v>
      </c>
      <c r="M178" s="102"/>
      <c r="N178" s="102"/>
      <c r="O178" s="102"/>
      <c r="P178" s="102"/>
      <c r="Q178" s="77">
        <f>17697*25%/72*P178</f>
        <v>0</v>
      </c>
      <c r="R178" s="77"/>
      <c r="S178" s="77"/>
      <c r="T178" s="77"/>
      <c r="U178" s="77">
        <f>L178*10%</f>
        <v>835</v>
      </c>
      <c r="V178" s="77">
        <f>M178+N178+Q178+R178+T178+U178+S178+L178</f>
        <v>9188</v>
      </c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</row>
    <row r="179" spans="1:90" s="2" customFormat="1" ht="93.75" customHeight="1">
      <c r="A179" s="102">
        <v>2</v>
      </c>
      <c r="B179" s="83"/>
      <c r="C179" s="81" t="s">
        <v>344</v>
      </c>
      <c r="D179" s="37" t="s">
        <v>51</v>
      </c>
      <c r="E179" s="80" t="s">
        <v>126</v>
      </c>
      <c r="F179" s="37" t="s">
        <v>127</v>
      </c>
      <c r="G179" s="80" t="s">
        <v>41</v>
      </c>
      <c r="H179" s="82" t="s">
        <v>42</v>
      </c>
      <c r="I179" s="74">
        <v>93971</v>
      </c>
      <c r="J179" s="75">
        <f t="shared" ref="J179:J184" si="31">I179/72</f>
        <v>1305.1500000000001</v>
      </c>
      <c r="K179" s="76">
        <v>3.6</v>
      </c>
      <c r="L179" s="77">
        <f t="shared" ref="L179:L184" si="32">J179*K179</f>
        <v>4699</v>
      </c>
      <c r="M179" s="102"/>
      <c r="N179" s="102"/>
      <c r="O179" s="102"/>
      <c r="P179" s="102"/>
      <c r="Q179" s="77">
        <f>17697*25%/72*P179</f>
        <v>0</v>
      </c>
      <c r="R179" s="102"/>
      <c r="S179" s="102"/>
      <c r="T179" s="77"/>
      <c r="U179" s="77">
        <f t="shared" ref="U179:U186" si="33">L179*10%</f>
        <v>470</v>
      </c>
      <c r="V179" s="77">
        <f t="shared" ref="V179:V186" si="34">M179+N179+Q179+R179+T179+U179+S179+L179</f>
        <v>5169</v>
      </c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</row>
    <row r="180" spans="1:90" s="2" customFormat="1" ht="72" customHeight="1">
      <c r="A180" s="102">
        <v>3</v>
      </c>
      <c r="B180" s="80"/>
      <c r="C180" s="80" t="s">
        <v>478</v>
      </c>
      <c r="D180" s="37" t="s">
        <v>51</v>
      </c>
      <c r="E180" s="37" t="s">
        <v>26</v>
      </c>
      <c r="F180" s="37" t="s">
        <v>27</v>
      </c>
      <c r="G180" s="80" t="s">
        <v>140</v>
      </c>
      <c r="H180" s="82" t="s">
        <v>25</v>
      </c>
      <c r="I180" s="82">
        <v>92201</v>
      </c>
      <c r="J180" s="75">
        <f t="shared" si="31"/>
        <v>1280.57</v>
      </c>
      <c r="K180" s="76">
        <v>8</v>
      </c>
      <c r="L180" s="77">
        <f t="shared" si="32"/>
        <v>10245</v>
      </c>
      <c r="M180" s="102"/>
      <c r="N180" s="102"/>
      <c r="O180" s="102"/>
      <c r="P180" s="102"/>
      <c r="Q180" s="77">
        <f>17697*25%/72*P180</f>
        <v>0</v>
      </c>
      <c r="R180" s="102"/>
      <c r="S180" s="102"/>
      <c r="T180" s="77"/>
      <c r="U180" s="77">
        <f t="shared" si="33"/>
        <v>1025</v>
      </c>
      <c r="V180" s="77">
        <f t="shared" si="34"/>
        <v>11270</v>
      </c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</row>
    <row r="181" spans="1:90" s="2" customFormat="1" ht="88.5" customHeight="1">
      <c r="A181" s="102">
        <v>4</v>
      </c>
      <c r="B181" s="37"/>
      <c r="C181" s="81" t="s">
        <v>472</v>
      </c>
      <c r="D181" s="37" t="s">
        <v>51</v>
      </c>
      <c r="E181" s="72" t="s">
        <v>65</v>
      </c>
      <c r="F181" s="37" t="s">
        <v>135</v>
      </c>
      <c r="G181" s="36" t="s">
        <v>105</v>
      </c>
      <c r="H181" s="74" t="s">
        <v>42</v>
      </c>
      <c r="I181" s="36">
        <v>89016</v>
      </c>
      <c r="J181" s="75">
        <f t="shared" si="31"/>
        <v>1236.33</v>
      </c>
      <c r="K181" s="102">
        <v>57.2</v>
      </c>
      <c r="L181" s="77">
        <f t="shared" si="32"/>
        <v>70718</v>
      </c>
      <c r="M181" s="102"/>
      <c r="N181" s="102">
        <v>4424</v>
      </c>
      <c r="O181" s="102"/>
      <c r="P181" s="102"/>
      <c r="Q181" s="77">
        <f>17697*20%/72*P181</f>
        <v>0</v>
      </c>
      <c r="R181" s="102"/>
      <c r="S181" s="102"/>
      <c r="T181" s="77"/>
      <c r="U181" s="77">
        <f t="shared" si="33"/>
        <v>7072</v>
      </c>
      <c r="V181" s="77">
        <f t="shared" si="34"/>
        <v>82214</v>
      </c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</row>
    <row r="182" spans="1:90" s="2" customFormat="1" ht="45" customHeight="1">
      <c r="A182" s="102">
        <v>5</v>
      </c>
      <c r="B182" s="80"/>
      <c r="C182" s="81" t="s">
        <v>473</v>
      </c>
      <c r="D182" s="37" t="s">
        <v>51</v>
      </c>
      <c r="E182" s="80" t="s">
        <v>70</v>
      </c>
      <c r="F182" s="80" t="s">
        <v>71</v>
      </c>
      <c r="G182" s="80" t="s">
        <v>153</v>
      </c>
      <c r="H182" s="74" t="s">
        <v>25</v>
      </c>
      <c r="I182" s="82">
        <v>89016</v>
      </c>
      <c r="J182" s="75">
        <f t="shared" si="31"/>
        <v>1236.33</v>
      </c>
      <c r="K182" s="76">
        <v>24.8</v>
      </c>
      <c r="L182" s="77">
        <f t="shared" si="32"/>
        <v>30661</v>
      </c>
      <c r="M182" s="102"/>
      <c r="N182" s="102"/>
      <c r="O182" s="102"/>
      <c r="P182" s="102"/>
      <c r="Q182" s="77">
        <f t="shared" ref="Q182:Q184" si="35">17697*20%/72*P182</f>
        <v>0</v>
      </c>
      <c r="R182" s="102"/>
      <c r="S182" s="102"/>
      <c r="T182" s="77"/>
      <c r="U182" s="77">
        <f t="shared" si="33"/>
        <v>3066</v>
      </c>
      <c r="V182" s="77">
        <f t="shared" si="34"/>
        <v>33727</v>
      </c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</row>
    <row r="183" spans="1:90" s="2" customFormat="1" ht="68.25" customHeight="1">
      <c r="A183" s="102">
        <v>6</v>
      </c>
      <c r="B183" s="80"/>
      <c r="C183" s="81" t="s">
        <v>474</v>
      </c>
      <c r="D183" s="37" t="s">
        <v>51</v>
      </c>
      <c r="E183" s="37" t="s">
        <v>38</v>
      </c>
      <c r="F183" s="80" t="s">
        <v>82</v>
      </c>
      <c r="G183" s="80" t="s">
        <v>159</v>
      </c>
      <c r="H183" s="82" t="s">
        <v>25</v>
      </c>
      <c r="I183" s="82">
        <v>93971</v>
      </c>
      <c r="J183" s="75">
        <f t="shared" si="31"/>
        <v>1305.1500000000001</v>
      </c>
      <c r="K183" s="76">
        <v>2.6</v>
      </c>
      <c r="L183" s="77">
        <f t="shared" si="32"/>
        <v>3393</v>
      </c>
      <c r="M183" s="102"/>
      <c r="N183" s="102"/>
      <c r="O183" s="102"/>
      <c r="P183" s="102"/>
      <c r="Q183" s="77">
        <f t="shared" si="35"/>
        <v>0</v>
      </c>
      <c r="R183" s="102"/>
      <c r="S183" s="102"/>
      <c r="T183" s="77"/>
      <c r="U183" s="77">
        <f t="shared" si="33"/>
        <v>339</v>
      </c>
      <c r="V183" s="77">
        <f t="shared" si="34"/>
        <v>3732</v>
      </c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</row>
    <row r="184" spans="1:90" s="2" customFormat="1" ht="111.75" customHeight="1">
      <c r="A184" s="102">
        <v>7</v>
      </c>
      <c r="B184" s="80"/>
      <c r="C184" s="81" t="s">
        <v>479</v>
      </c>
      <c r="D184" s="37" t="s">
        <v>51</v>
      </c>
      <c r="E184" s="80" t="s">
        <v>26</v>
      </c>
      <c r="F184" s="80" t="s">
        <v>124</v>
      </c>
      <c r="G184" s="80" t="s">
        <v>173</v>
      </c>
      <c r="H184" s="82" t="s">
        <v>42</v>
      </c>
      <c r="I184" s="74">
        <v>92201</v>
      </c>
      <c r="J184" s="75">
        <f t="shared" si="31"/>
        <v>1280.57</v>
      </c>
      <c r="K184" s="76">
        <v>10</v>
      </c>
      <c r="L184" s="77">
        <f t="shared" si="32"/>
        <v>12806</v>
      </c>
      <c r="M184" s="102"/>
      <c r="N184" s="102"/>
      <c r="O184" s="102"/>
      <c r="P184" s="102"/>
      <c r="Q184" s="77">
        <f t="shared" si="35"/>
        <v>0</v>
      </c>
      <c r="R184" s="102"/>
      <c r="S184" s="102"/>
      <c r="T184" s="77"/>
      <c r="U184" s="77">
        <f t="shared" si="33"/>
        <v>1281</v>
      </c>
      <c r="V184" s="77">
        <f t="shared" si="34"/>
        <v>14087</v>
      </c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</row>
    <row r="185" spans="1:90" s="2" customFormat="1" ht="32.25" customHeight="1">
      <c r="A185" s="102">
        <v>8</v>
      </c>
      <c r="B185" s="80"/>
      <c r="C185" s="130" t="s">
        <v>493</v>
      </c>
      <c r="D185" s="37"/>
      <c r="E185" s="86"/>
      <c r="F185" s="86"/>
      <c r="G185" s="80"/>
      <c r="H185" s="82"/>
      <c r="I185" s="74"/>
      <c r="J185" s="75"/>
      <c r="K185" s="76"/>
      <c r="L185" s="77"/>
      <c r="M185" s="102">
        <v>4424</v>
      </c>
      <c r="N185" s="102"/>
      <c r="O185" s="102"/>
      <c r="P185" s="102"/>
      <c r="Q185" s="77"/>
      <c r="R185" s="102"/>
      <c r="S185" s="102"/>
      <c r="T185" s="77"/>
      <c r="U185" s="77">
        <f t="shared" si="33"/>
        <v>0</v>
      </c>
      <c r="V185" s="77">
        <f t="shared" si="34"/>
        <v>4424</v>
      </c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</row>
    <row r="186" spans="1:90" s="2" customFormat="1" ht="68.25" customHeight="1">
      <c r="A186" s="102">
        <v>9</v>
      </c>
      <c r="B186" s="37"/>
      <c r="C186" s="93" t="s">
        <v>480</v>
      </c>
      <c r="D186" s="102" t="s">
        <v>51</v>
      </c>
      <c r="E186" s="94"/>
      <c r="F186" s="94"/>
      <c r="G186" s="36" t="s">
        <v>50</v>
      </c>
      <c r="H186" s="82" t="s">
        <v>42</v>
      </c>
      <c r="I186" s="36">
        <v>85653</v>
      </c>
      <c r="J186" s="75">
        <f>I186/72</f>
        <v>1189.6300000000001</v>
      </c>
      <c r="K186" s="102">
        <f>1.8+10+1.5+29.6</f>
        <v>42.9</v>
      </c>
      <c r="L186" s="77">
        <f>J186*K186</f>
        <v>51035</v>
      </c>
      <c r="M186" s="102"/>
      <c r="N186" s="102"/>
      <c r="O186" s="102"/>
      <c r="P186" s="102"/>
      <c r="Q186" s="77">
        <f>17697*20%/72*P186</f>
        <v>0</v>
      </c>
      <c r="R186" s="102"/>
      <c r="S186" s="102"/>
      <c r="T186" s="77"/>
      <c r="U186" s="77">
        <f t="shared" si="33"/>
        <v>5104</v>
      </c>
      <c r="V186" s="77">
        <f t="shared" si="34"/>
        <v>56139</v>
      </c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</row>
    <row r="187" spans="1:90" s="2" customFormat="1">
      <c r="A187" s="104"/>
      <c r="B187" s="104" t="s">
        <v>8</v>
      </c>
      <c r="C187" s="102"/>
      <c r="D187" s="102"/>
      <c r="E187" s="102"/>
      <c r="F187" s="102"/>
      <c r="G187" s="104"/>
      <c r="H187" s="102"/>
      <c r="I187" s="102"/>
      <c r="J187" s="75"/>
      <c r="K187" s="76">
        <f>SUM(K178:K186)</f>
        <v>155.5</v>
      </c>
      <c r="L187" s="76">
        <f t="shared" ref="L187:V187" si="36">SUM(L178:L186)</f>
        <v>191910</v>
      </c>
      <c r="M187" s="76">
        <f t="shared" si="36"/>
        <v>4424</v>
      </c>
      <c r="N187" s="76">
        <f t="shared" si="36"/>
        <v>4424</v>
      </c>
      <c r="O187" s="76">
        <f t="shared" si="36"/>
        <v>0</v>
      </c>
      <c r="P187" s="76">
        <f t="shared" si="36"/>
        <v>0</v>
      </c>
      <c r="Q187" s="76">
        <f t="shared" si="36"/>
        <v>0</v>
      </c>
      <c r="R187" s="76">
        <f t="shared" si="36"/>
        <v>0</v>
      </c>
      <c r="S187" s="76">
        <f t="shared" si="36"/>
        <v>0</v>
      </c>
      <c r="T187" s="76">
        <f t="shared" si="36"/>
        <v>0</v>
      </c>
      <c r="U187" s="76">
        <f t="shared" si="36"/>
        <v>19192</v>
      </c>
      <c r="V187" s="76">
        <f t="shared" si="36"/>
        <v>219950</v>
      </c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</row>
    <row r="188" spans="1:90" s="2" customFormat="1">
      <c r="A188" s="95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6" t="s">
        <v>213</v>
      </c>
      <c r="P188" s="96"/>
      <c r="Q188" s="96"/>
      <c r="R188" s="96"/>
      <c r="S188" s="97"/>
      <c r="T188" s="97"/>
      <c r="U188" s="98"/>
      <c r="V188" s="9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</row>
    <row r="189" spans="1:90" s="2" customFormat="1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100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</row>
    <row r="190" spans="1:90" s="2" customFormat="1">
      <c r="A190" s="69" t="s">
        <v>0</v>
      </c>
      <c r="B190" s="69"/>
      <c r="C190" s="69"/>
      <c r="D190" s="69"/>
      <c r="E190" s="70"/>
      <c r="F190" s="70"/>
      <c r="G190" s="70"/>
      <c r="H190" s="70"/>
      <c r="I190" s="70"/>
      <c r="J190" s="70"/>
      <c r="K190" s="70"/>
      <c r="L190" s="70"/>
      <c r="M190" s="70"/>
      <c r="N190" s="69" t="s">
        <v>1</v>
      </c>
      <c r="O190" s="69"/>
      <c r="P190" s="69"/>
      <c r="Q190" s="69"/>
      <c r="R190" s="69"/>
      <c r="S190" s="69"/>
      <c r="T190" s="69"/>
      <c r="U190" s="70"/>
      <c r="V190" s="100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</row>
    <row r="191" spans="1:90" s="2" customFormat="1">
      <c r="A191" s="69" t="s">
        <v>2</v>
      </c>
      <c r="B191" s="69"/>
      <c r="C191" s="69"/>
      <c r="D191" s="69"/>
      <c r="E191" s="70"/>
      <c r="F191" s="70"/>
      <c r="G191" s="70"/>
      <c r="H191" s="70"/>
      <c r="I191" s="70"/>
      <c r="J191" s="70"/>
      <c r="K191" s="70"/>
      <c r="L191" s="70"/>
      <c r="M191" s="70"/>
      <c r="N191" s="69" t="s">
        <v>3</v>
      </c>
      <c r="O191" s="69"/>
      <c r="P191" s="69"/>
      <c r="Q191" s="69"/>
      <c r="R191" s="69"/>
      <c r="S191" s="69"/>
      <c r="T191" s="69"/>
      <c r="U191" s="70"/>
      <c r="V191" s="100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</row>
    <row r="192" spans="1:90" s="2" customFormat="1">
      <c r="A192" s="69"/>
      <c r="B192" s="69"/>
      <c r="C192" s="69"/>
      <c r="D192" s="69"/>
      <c r="E192" s="70"/>
      <c r="F192" s="70"/>
      <c r="G192" s="70"/>
      <c r="H192" s="70"/>
      <c r="I192" s="70"/>
      <c r="J192" s="70"/>
      <c r="K192" s="70"/>
      <c r="L192" s="70"/>
      <c r="M192" s="70"/>
      <c r="N192" s="68" t="s">
        <v>4</v>
      </c>
      <c r="O192" s="68"/>
      <c r="P192" s="68"/>
      <c r="Q192" s="68"/>
      <c r="R192" s="68"/>
      <c r="S192" s="68"/>
      <c r="T192" s="68"/>
      <c r="U192" s="70"/>
      <c r="V192" s="100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</row>
    <row r="193" spans="1:90" s="2" customFormat="1">
      <c r="A193" s="69" t="s">
        <v>5</v>
      </c>
      <c r="B193" s="69"/>
      <c r="C193" s="69" t="s">
        <v>6</v>
      </c>
      <c r="D193" s="69"/>
      <c r="E193" s="462" t="s">
        <v>183</v>
      </c>
      <c r="F193" s="462"/>
      <c r="G193" s="462"/>
      <c r="H193" s="462"/>
      <c r="I193" s="462"/>
      <c r="J193" s="462"/>
      <c r="K193" s="462"/>
      <c r="L193" s="462"/>
      <c r="M193" s="70"/>
      <c r="N193" s="69" t="s">
        <v>139</v>
      </c>
      <c r="O193" s="69"/>
      <c r="P193" s="69"/>
      <c r="Q193" s="69"/>
      <c r="R193" s="69"/>
      <c r="S193" s="69"/>
      <c r="T193" s="69"/>
      <c r="U193" s="70"/>
      <c r="V193" s="100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</row>
    <row r="194" spans="1:90" s="2" customFormat="1">
      <c r="A194" s="69"/>
      <c r="B194" s="69"/>
      <c r="C194" s="69"/>
      <c r="D194" s="69"/>
      <c r="E194" s="463" t="s">
        <v>184</v>
      </c>
      <c r="F194" s="463"/>
      <c r="G194" s="463"/>
      <c r="H194" s="463"/>
      <c r="I194" s="463"/>
      <c r="J194" s="463"/>
      <c r="K194" s="463"/>
      <c r="L194" s="463"/>
      <c r="M194" s="463"/>
      <c r="N194" s="70"/>
      <c r="O194" s="70"/>
      <c r="P194" s="70"/>
      <c r="Q194" s="70"/>
      <c r="R194" s="70"/>
      <c r="S194" s="70"/>
      <c r="T194" s="70"/>
      <c r="U194" s="70"/>
      <c r="V194" s="100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</row>
    <row r="195" spans="1:90" s="2" customFormat="1">
      <c r="A195" s="70"/>
      <c r="B195" s="70"/>
      <c r="C195" s="70"/>
      <c r="D195" s="70"/>
      <c r="E195" s="464" t="s">
        <v>219</v>
      </c>
      <c r="F195" s="464"/>
      <c r="G195" s="464"/>
      <c r="H195" s="464"/>
      <c r="I195" s="464"/>
      <c r="J195" s="464"/>
      <c r="K195" s="464"/>
      <c r="L195" s="464"/>
      <c r="M195" s="464"/>
      <c r="N195" s="70"/>
      <c r="O195" s="70"/>
      <c r="P195" s="70"/>
      <c r="Q195" s="70"/>
      <c r="R195" s="70"/>
      <c r="S195" s="70"/>
      <c r="T195" s="70"/>
      <c r="U195" s="70"/>
      <c r="V195" s="100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</row>
    <row r="196" spans="1:90" s="2" customFormat="1">
      <c r="A196" s="70"/>
      <c r="B196" s="70"/>
      <c r="C196" s="70"/>
      <c r="D196" s="70"/>
      <c r="E196" s="464" t="s">
        <v>7</v>
      </c>
      <c r="F196" s="464"/>
      <c r="G196" s="464"/>
      <c r="H196" s="464"/>
      <c r="I196" s="464"/>
      <c r="J196" s="464"/>
      <c r="K196" s="464"/>
      <c r="L196" s="464"/>
      <c r="M196" s="464"/>
      <c r="N196" s="70"/>
      <c r="O196" s="70"/>
      <c r="P196" s="70"/>
      <c r="Q196" s="70"/>
      <c r="R196" s="70"/>
      <c r="S196" s="70"/>
      <c r="T196" s="70"/>
      <c r="U196" s="70"/>
      <c r="V196" s="100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</row>
    <row r="197" spans="1:90" s="2" customFormat="1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 t="s">
        <v>185</v>
      </c>
      <c r="R197" s="70"/>
      <c r="S197" s="70"/>
      <c r="T197" s="70"/>
      <c r="U197" s="70"/>
      <c r="V197" s="100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</row>
    <row r="198" spans="1:90" s="2" customFormat="1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 t="s">
        <v>265</v>
      </c>
      <c r="R198" s="70"/>
      <c r="S198" s="70"/>
      <c r="T198" s="70"/>
      <c r="U198" s="70"/>
      <c r="V198" s="100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</row>
    <row r="199" spans="1:90" s="2" customFormat="1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 t="s">
        <v>186</v>
      </c>
      <c r="R199" s="70"/>
      <c r="S199" s="70"/>
      <c r="T199" s="70" t="s">
        <v>187</v>
      </c>
      <c r="U199" s="70"/>
      <c r="V199" s="100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</row>
    <row r="200" spans="1:90" s="2" customFormat="1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 t="s">
        <v>188</v>
      </c>
      <c r="R200" s="70"/>
      <c r="S200" s="70"/>
      <c r="T200" s="70">
        <v>4</v>
      </c>
      <c r="U200" s="70"/>
      <c r="V200" s="100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</row>
    <row r="201" spans="1:90" s="2" customFormat="1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 t="s">
        <v>189</v>
      </c>
      <c r="R201" s="70"/>
      <c r="S201" s="70"/>
      <c r="T201" s="70">
        <v>24</v>
      </c>
      <c r="U201" s="70" t="s">
        <v>190</v>
      </c>
      <c r="V201" s="100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</row>
    <row r="202" spans="1:90" s="2" customFormat="1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 t="s">
        <v>191</v>
      </c>
      <c r="R202" s="70"/>
      <c r="S202" s="70"/>
      <c r="T202" s="70">
        <v>24</v>
      </c>
      <c r="U202" s="70">
        <f>T202*100/T201</f>
        <v>100</v>
      </c>
      <c r="V202" s="100" t="s">
        <v>17</v>
      </c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</row>
    <row r="203" spans="1:90" s="2" customFormat="1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 t="s">
        <v>192</v>
      </c>
      <c r="R203" s="70"/>
      <c r="S203" s="70"/>
      <c r="T203" s="70">
        <v>0</v>
      </c>
      <c r="U203" s="70">
        <f>T203*100/T201</f>
        <v>0</v>
      </c>
      <c r="V203" s="100" t="s">
        <v>17</v>
      </c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</row>
    <row r="204" spans="1:90" s="2" customFormat="1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 t="s">
        <v>193</v>
      </c>
      <c r="R204" s="70"/>
      <c r="S204" s="70"/>
      <c r="T204" s="324">
        <f>K220</f>
        <v>154.6</v>
      </c>
      <c r="U204" s="70"/>
      <c r="V204" s="100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</row>
    <row r="205" spans="1:90" s="2" customFormat="1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100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</row>
    <row r="206" spans="1:90" s="2" customFormat="1">
      <c r="A206" s="70"/>
      <c r="B206" s="70" t="s">
        <v>481</v>
      </c>
      <c r="C206" s="70" t="s">
        <v>194</v>
      </c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100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</row>
    <row r="207" spans="1:90" s="2" customFormat="1">
      <c r="A207" s="459" t="s">
        <v>195</v>
      </c>
      <c r="B207" s="459" t="s">
        <v>196</v>
      </c>
      <c r="C207" s="459" t="s">
        <v>197</v>
      </c>
      <c r="D207" s="459" t="s">
        <v>198</v>
      </c>
      <c r="E207" s="459" t="s">
        <v>10</v>
      </c>
      <c r="F207" s="459" t="s">
        <v>199</v>
      </c>
      <c r="G207" s="459" t="s">
        <v>200</v>
      </c>
      <c r="H207" s="459" t="s">
        <v>201</v>
      </c>
      <c r="I207" s="459" t="s">
        <v>202</v>
      </c>
      <c r="J207" s="459" t="s">
        <v>11</v>
      </c>
      <c r="K207" s="459" t="s">
        <v>203</v>
      </c>
      <c r="L207" s="459" t="s">
        <v>12</v>
      </c>
      <c r="M207" s="458" t="s">
        <v>204</v>
      </c>
      <c r="N207" s="458"/>
      <c r="O207" s="458"/>
      <c r="P207" s="458"/>
      <c r="Q207" s="458"/>
      <c r="R207" s="458"/>
      <c r="S207" s="458"/>
      <c r="T207" s="458"/>
      <c r="U207" s="459" t="s">
        <v>205</v>
      </c>
      <c r="V207" s="479" t="s">
        <v>206</v>
      </c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</row>
    <row r="208" spans="1:90" s="2" customFormat="1">
      <c r="A208" s="460"/>
      <c r="B208" s="460"/>
      <c r="C208" s="460"/>
      <c r="D208" s="460"/>
      <c r="E208" s="460"/>
      <c r="F208" s="460"/>
      <c r="G208" s="460"/>
      <c r="H208" s="460"/>
      <c r="I208" s="460"/>
      <c r="J208" s="460"/>
      <c r="K208" s="460"/>
      <c r="L208" s="460"/>
      <c r="M208" s="459" t="s">
        <v>207</v>
      </c>
      <c r="N208" s="459" t="s">
        <v>15</v>
      </c>
      <c r="O208" s="458" t="s">
        <v>16</v>
      </c>
      <c r="P208" s="458"/>
      <c r="Q208" s="458"/>
      <c r="R208" s="459"/>
      <c r="S208" s="459"/>
      <c r="T208" s="459"/>
      <c r="U208" s="460"/>
      <c r="V208" s="479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</row>
    <row r="209" spans="1:90" s="2" customFormat="1" ht="40.5" customHeight="1">
      <c r="A209" s="461"/>
      <c r="B209" s="461"/>
      <c r="C209" s="461"/>
      <c r="D209" s="461"/>
      <c r="E209" s="461"/>
      <c r="F209" s="461"/>
      <c r="G209" s="461"/>
      <c r="H209" s="461"/>
      <c r="I209" s="461"/>
      <c r="J209" s="461"/>
      <c r="K209" s="461"/>
      <c r="L209" s="461"/>
      <c r="M209" s="461"/>
      <c r="N209" s="461"/>
      <c r="O209" s="71" t="s">
        <v>17</v>
      </c>
      <c r="P209" s="71" t="s">
        <v>18</v>
      </c>
      <c r="Q209" s="71" t="s">
        <v>19</v>
      </c>
      <c r="R209" s="461"/>
      <c r="S209" s="461"/>
      <c r="T209" s="461"/>
      <c r="U209" s="461"/>
      <c r="V209" s="479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</row>
    <row r="210" spans="1:90" s="2" customFormat="1" ht="41.25" customHeight="1">
      <c r="A210" s="102">
        <v>1</v>
      </c>
      <c r="B210" s="84"/>
      <c r="C210" s="84" t="s">
        <v>100</v>
      </c>
      <c r="D210" s="37" t="s">
        <v>51</v>
      </c>
      <c r="E210" s="84" t="s">
        <v>101</v>
      </c>
      <c r="F210" s="84" t="s">
        <v>102</v>
      </c>
      <c r="G210" s="84" t="s">
        <v>166</v>
      </c>
      <c r="H210" s="74" t="s">
        <v>25</v>
      </c>
      <c r="I210" s="82">
        <v>92201</v>
      </c>
      <c r="J210" s="75">
        <f>I210/72</f>
        <v>1280.57</v>
      </c>
      <c r="K210" s="76">
        <v>1.8</v>
      </c>
      <c r="L210" s="77">
        <f>J210*K210</f>
        <v>2305</v>
      </c>
      <c r="M210" s="102"/>
      <c r="N210" s="102"/>
      <c r="O210" s="102"/>
      <c r="P210" s="102"/>
      <c r="Q210" s="77">
        <f>17697*25%/72*P210</f>
        <v>0</v>
      </c>
      <c r="R210" s="77"/>
      <c r="S210" s="77"/>
      <c r="T210" s="77"/>
      <c r="U210" s="77">
        <f>L210*10%</f>
        <v>231</v>
      </c>
      <c r="V210" s="77">
        <f>M210+N210+Q210+R210+T210+U210+S210+L210</f>
        <v>2536</v>
      </c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</row>
    <row r="211" spans="1:90" s="2" customFormat="1" ht="41.25" customHeight="1">
      <c r="A211" s="102">
        <v>2</v>
      </c>
      <c r="B211" s="80"/>
      <c r="C211" s="80" t="s">
        <v>482</v>
      </c>
      <c r="D211" s="37" t="s">
        <v>51</v>
      </c>
      <c r="E211" s="37" t="s">
        <v>26</v>
      </c>
      <c r="F211" s="37" t="s">
        <v>27</v>
      </c>
      <c r="G211" s="80" t="s">
        <v>140</v>
      </c>
      <c r="H211" s="82" t="s">
        <v>25</v>
      </c>
      <c r="I211" s="82">
        <v>92201</v>
      </c>
      <c r="J211" s="75">
        <f t="shared" ref="J211:J217" si="37">I211/72</f>
        <v>1280.57</v>
      </c>
      <c r="K211" s="76">
        <v>4</v>
      </c>
      <c r="L211" s="77">
        <f t="shared" ref="L211:L217" si="38">J211*K211</f>
        <v>5122</v>
      </c>
      <c r="M211" s="102"/>
      <c r="N211" s="102"/>
      <c r="O211" s="102"/>
      <c r="P211" s="102"/>
      <c r="Q211" s="77">
        <f>17697*25%/72*P211</f>
        <v>0</v>
      </c>
      <c r="R211" s="102"/>
      <c r="S211" s="102"/>
      <c r="T211" s="77"/>
      <c r="U211" s="77">
        <f t="shared" ref="U211:U219" si="39">L211*10%</f>
        <v>512</v>
      </c>
      <c r="V211" s="77">
        <f t="shared" ref="V211:V219" si="40">M211+N211+Q211+R211+T211+U211+S211+L211</f>
        <v>5634</v>
      </c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</row>
    <row r="212" spans="1:90" s="2" customFormat="1" ht="57" customHeight="1">
      <c r="A212" s="102">
        <v>3</v>
      </c>
      <c r="B212" s="80"/>
      <c r="C212" s="80" t="s">
        <v>483</v>
      </c>
      <c r="D212" s="37" t="s">
        <v>51</v>
      </c>
      <c r="E212" s="37" t="s">
        <v>87</v>
      </c>
      <c r="F212" s="80" t="s">
        <v>88</v>
      </c>
      <c r="G212" s="80" t="s">
        <v>161</v>
      </c>
      <c r="H212" s="82" t="s">
        <v>25</v>
      </c>
      <c r="I212" s="82">
        <v>93971</v>
      </c>
      <c r="J212" s="75">
        <f t="shared" si="37"/>
        <v>1305.1500000000001</v>
      </c>
      <c r="K212" s="76">
        <v>7</v>
      </c>
      <c r="L212" s="77">
        <f t="shared" si="38"/>
        <v>9136</v>
      </c>
      <c r="M212" s="102"/>
      <c r="N212" s="102"/>
      <c r="O212" s="102"/>
      <c r="P212" s="102"/>
      <c r="Q212" s="77">
        <f>17697*25%/72*P212</f>
        <v>0</v>
      </c>
      <c r="R212" s="102"/>
      <c r="S212" s="102"/>
      <c r="T212" s="77"/>
      <c r="U212" s="77">
        <f t="shared" si="39"/>
        <v>914</v>
      </c>
      <c r="V212" s="77">
        <f t="shared" si="40"/>
        <v>10050</v>
      </c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</row>
    <row r="213" spans="1:90" s="2" customFormat="1" ht="81" customHeight="1">
      <c r="A213" s="102">
        <v>4</v>
      </c>
      <c r="B213" s="80"/>
      <c r="C213" s="81" t="s">
        <v>484</v>
      </c>
      <c r="D213" s="37" t="s">
        <v>51</v>
      </c>
      <c r="E213" s="80" t="s">
        <v>70</v>
      </c>
      <c r="F213" s="80" t="s">
        <v>71</v>
      </c>
      <c r="G213" s="80" t="s">
        <v>153</v>
      </c>
      <c r="H213" s="74" t="s">
        <v>25</v>
      </c>
      <c r="I213" s="82">
        <v>89016</v>
      </c>
      <c r="J213" s="75">
        <f t="shared" si="37"/>
        <v>1236.33</v>
      </c>
      <c r="K213" s="102">
        <v>7.2</v>
      </c>
      <c r="L213" s="77">
        <f t="shared" si="38"/>
        <v>8902</v>
      </c>
      <c r="M213" s="102"/>
      <c r="N213" s="102"/>
      <c r="O213" s="102"/>
      <c r="P213" s="102"/>
      <c r="Q213" s="77">
        <f>17697*20%/72*P213</f>
        <v>0</v>
      </c>
      <c r="R213" s="102"/>
      <c r="S213" s="102"/>
      <c r="T213" s="77"/>
      <c r="U213" s="77">
        <f t="shared" si="39"/>
        <v>890</v>
      </c>
      <c r="V213" s="77">
        <f t="shared" si="40"/>
        <v>9792</v>
      </c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</row>
    <row r="214" spans="1:90" s="2" customFormat="1" ht="71.25" customHeight="1">
      <c r="A214" s="102">
        <v>5</v>
      </c>
      <c r="B214" s="37"/>
      <c r="C214" s="81" t="s">
        <v>485</v>
      </c>
      <c r="D214" s="37" t="s">
        <v>51</v>
      </c>
      <c r="E214" s="72" t="s">
        <v>65</v>
      </c>
      <c r="F214" s="37" t="s">
        <v>135</v>
      </c>
      <c r="G214" s="36" t="s">
        <v>105</v>
      </c>
      <c r="H214" s="74" t="s">
        <v>42</v>
      </c>
      <c r="I214" s="36">
        <v>89016</v>
      </c>
      <c r="J214" s="75">
        <f t="shared" si="37"/>
        <v>1236.33</v>
      </c>
      <c r="K214" s="76">
        <v>10.4</v>
      </c>
      <c r="L214" s="77">
        <f t="shared" si="38"/>
        <v>12858</v>
      </c>
      <c r="M214" s="102"/>
      <c r="N214" s="102"/>
      <c r="O214" s="102"/>
      <c r="P214" s="102"/>
      <c r="Q214" s="77">
        <f t="shared" ref="Q214:Q217" si="41">17697*20%/72*P214</f>
        <v>0</v>
      </c>
      <c r="R214" s="102"/>
      <c r="S214" s="102"/>
      <c r="T214" s="77"/>
      <c r="U214" s="77">
        <f t="shared" si="39"/>
        <v>1286</v>
      </c>
      <c r="V214" s="77">
        <f t="shared" si="40"/>
        <v>14144</v>
      </c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</row>
    <row r="215" spans="1:90" s="2" customFormat="1" ht="50.25" customHeight="1">
      <c r="A215" s="102">
        <v>6</v>
      </c>
      <c r="B215" s="80"/>
      <c r="C215" s="81" t="s">
        <v>486</v>
      </c>
      <c r="D215" s="37" t="s">
        <v>51</v>
      </c>
      <c r="E215" s="37" t="s">
        <v>38</v>
      </c>
      <c r="F215" s="80" t="s">
        <v>82</v>
      </c>
      <c r="G215" s="80" t="s">
        <v>159</v>
      </c>
      <c r="H215" s="82" t="s">
        <v>25</v>
      </c>
      <c r="I215" s="82">
        <v>93971</v>
      </c>
      <c r="J215" s="75">
        <f t="shared" si="37"/>
        <v>1305.1500000000001</v>
      </c>
      <c r="K215" s="76">
        <v>2</v>
      </c>
      <c r="L215" s="77">
        <f t="shared" si="38"/>
        <v>2610</v>
      </c>
      <c r="M215" s="102"/>
      <c r="N215" s="102"/>
      <c r="O215" s="102"/>
      <c r="P215" s="102"/>
      <c r="Q215" s="77">
        <f t="shared" si="41"/>
        <v>0</v>
      </c>
      <c r="R215" s="102"/>
      <c r="S215" s="102"/>
      <c r="T215" s="77"/>
      <c r="U215" s="77">
        <f t="shared" si="39"/>
        <v>261</v>
      </c>
      <c r="V215" s="77">
        <f t="shared" si="40"/>
        <v>2871</v>
      </c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</row>
    <row r="216" spans="1:90" s="2" customFormat="1" ht="63" customHeight="1">
      <c r="A216" s="102">
        <v>7</v>
      </c>
      <c r="B216" s="80"/>
      <c r="C216" s="81" t="s">
        <v>487</v>
      </c>
      <c r="D216" s="37" t="s">
        <v>51</v>
      </c>
      <c r="E216" s="80" t="s">
        <v>26</v>
      </c>
      <c r="F216" s="80" t="s">
        <v>124</v>
      </c>
      <c r="G216" s="80" t="s">
        <v>173</v>
      </c>
      <c r="H216" s="82" t="s">
        <v>42</v>
      </c>
      <c r="I216" s="74">
        <v>92201</v>
      </c>
      <c r="J216" s="75">
        <f t="shared" si="37"/>
        <v>1280.57</v>
      </c>
      <c r="K216" s="76">
        <v>14.4</v>
      </c>
      <c r="L216" s="77">
        <f t="shared" si="38"/>
        <v>18440</v>
      </c>
      <c r="M216" s="102"/>
      <c r="N216" s="102"/>
      <c r="O216" s="102"/>
      <c r="P216" s="102"/>
      <c r="Q216" s="77">
        <f t="shared" si="41"/>
        <v>0</v>
      </c>
      <c r="R216" s="102"/>
      <c r="S216" s="102"/>
      <c r="T216" s="77"/>
      <c r="U216" s="77">
        <f t="shared" si="39"/>
        <v>1844</v>
      </c>
      <c r="V216" s="77">
        <f t="shared" si="40"/>
        <v>20284</v>
      </c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</row>
    <row r="217" spans="1:90" s="2" customFormat="1" ht="53.25" customHeight="1">
      <c r="A217" s="102">
        <v>8</v>
      </c>
      <c r="B217" s="83"/>
      <c r="C217" s="81" t="s">
        <v>407</v>
      </c>
      <c r="D217" s="37" t="s">
        <v>51</v>
      </c>
      <c r="E217" s="80" t="s">
        <v>80</v>
      </c>
      <c r="F217" s="80" t="s">
        <v>130</v>
      </c>
      <c r="G217" s="80" t="s">
        <v>174</v>
      </c>
      <c r="H217" s="74" t="s">
        <v>25</v>
      </c>
      <c r="I217" s="82">
        <v>89016</v>
      </c>
      <c r="J217" s="75">
        <f t="shared" si="37"/>
        <v>1236.33</v>
      </c>
      <c r="K217" s="76">
        <v>5.4</v>
      </c>
      <c r="L217" s="77">
        <f t="shared" si="38"/>
        <v>6676</v>
      </c>
      <c r="M217" s="102"/>
      <c r="N217" s="102">
        <v>4424</v>
      </c>
      <c r="O217" s="102"/>
      <c r="P217" s="102"/>
      <c r="Q217" s="77">
        <f t="shared" si="41"/>
        <v>0</v>
      </c>
      <c r="R217" s="102"/>
      <c r="S217" s="102"/>
      <c r="T217" s="77"/>
      <c r="U217" s="77">
        <f t="shared" si="39"/>
        <v>668</v>
      </c>
      <c r="V217" s="77">
        <f t="shared" si="40"/>
        <v>11768</v>
      </c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</row>
    <row r="218" spans="1:90" s="2" customFormat="1" ht="27.75" customHeight="1">
      <c r="A218" s="102">
        <v>9</v>
      </c>
      <c r="B218" s="83"/>
      <c r="C218" s="130" t="s">
        <v>497</v>
      </c>
      <c r="D218" s="37"/>
      <c r="E218" s="86"/>
      <c r="F218" s="86"/>
      <c r="G218" s="80"/>
      <c r="H218" s="74"/>
      <c r="I218" s="82"/>
      <c r="J218" s="75"/>
      <c r="K218" s="76"/>
      <c r="L218" s="77"/>
      <c r="M218" s="102">
        <v>4424</v>
      </c>
      <c r="N218" s="102"/>
      <c r="O218" s="102"/>
      <c r="P218" s="102"/>
      <c r="Q218" s="77"/>
      <c r="R218" s="102"/>
      <c r="S218" s="102"/>
      <c r="T218" s="77"/>
      <c r="U218" s="77">
        <f t="shared" si="39"/>
        <v>0</v>
      </c>
      <c r="V218" s="77">
        <f t="shared" si="40"/>
        <v>4424</v>
      </c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</row>
    <row r="219" spans="1:90" s="2" customFormat="1" ht="93" customHeight="1">
      <c r="A219" s="102">
        <v>10</v>
      </c>
      <c r="B219" s="37"/>
      <c r="C219" s="93" t="s">
        <v>488</v>
      </c>
      <c r="D219" s="102" t="s">
        <v>51</v>
      </c>
      <c r="E219" s="94"/>
      <c r="F219" s="94"/>
      <c r="G219" s="36" t="s">
        <v>50</v>
      </c>
      <c r="H219" s="82" t="s">
        <v>42</v>
      </c>
      <c r="I219" s="36">
        <v>85653</v>
      </c>
      <c r="J219" s="75">
        <f>I219/72</f>
        <v>1189.6300000000001</v>
      </c>
      <c r="K219" s="102">
        <f>1.8+2.4+10+21.6+7.2+59.4</f>
        <v>102.4</v>
      </c>
      <c r="L219" s="77">
        <f>J219*K219</f>
        <v>121818</v>
      </c>
      <c r="M219" s="102"/>
      <c r="N219" s="102"/>
      <c r="O219" s="102"/>
      <c r="P219" s="102"/>
      <c r="Q219" s="77">
        <f>17697*20%/72*P219</f>
        <v>0</v>
      </c>
      <c r="R219" s="102"/>
      <c r="S219" s="102"/>
      <c r="T219" s="77"/>
      <c r="U219" s="77">
        <f t="shared" si="39"/>
        <v>12182</v>
      </c>
      <c r="V219" s="77">
        <f t="shared" si="40"/>
        <v>134000</v>
      </c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</row>
    <row r="220" spans="1:90" s="2" customFormat="1">
      <c r="A220" s="104"/>
      <c r="B220" s="104" t="s">
        <v>8</v>
      </c>
      <c r="C220" s="102"/>
      <c r="D220" s="102"/>
      <c r="E220" s="102"/>
      <c r="F220" s="102"/>
      <c r="G220" s="104"/>
      <c r="H220" s="102"/>
      <c r="I220" s="102"/>
      <c r="J220" s="75"/>
      <c r="K220" s="76">
        <f>SUM(K210:K219)</f>
        <v>154.6</v>
      </c>
      <c r="L220" s="76">
        <f t="shared" ref="L220:V220" si="42">SUM(L210:L219)</f>
        <v>187867</v>
      </c>
      <c r="M220" s="76">
        <f t="shared" si="42"/>
        <v>4424</v>
      </c>
      <c r="N220" s="76">
        <f t="shared" si="42"/>
        <v>4424</v>
      </c>
      <c r="O220" s="76">
        <f t="shared" si="42"/>
        <v>0</v>
      </c>
      <c r="P220" s="76">
        <f t="shared" si="42"/>
        <v>0</v>
      </c>
      <c r="Q220" s="76">
        <f t="shared" si="42"/>
        <v>0</v>
      </c>
      <c r="R220" s="76">
        <f t="shared" si="42"/>
        <v>0</v>
      </c>
      <c r="S220" s="76">
        <f t="shared" si="42"/>
        <v>0</v>
      </c>
      <c r="T220" s="76">
        <f t="shared" si="42"/>
        <v>0</v>
      </c>
      <c r="U220" s="76">
        <f t="shared" si="42"/>
        <v>18788</v>
      </c>
      <c r="V220" s="76">
        <f t="shared" si="42"/>
        <v>215503</v>
      </c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</row>
    <row r="221" spans="1:90" s="2" customFormat="1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6" t="s">
        <v>213</v>
      </c>
      <c r="P221" s="96"/>
      <c r="Q221" s="96"/>
      <c r="R221" s="96"/>
      <c r="S221" s="97"/>
      <c r="T221" s="97"/>
      <c r="U221" s="98"/>
      <c r="V221" s="9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</row>
    <row r="222" spans="1:90" s="2" customFormat="1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100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</row>
    <row r="223" spans="1:90" s="2" customFormat="1">
      <c r="A223" s="69" t="s">
        <v>0</v>
      </c>
      <c r="B223" s="69"/>
      <c r="C223" s="69"/>
      <c r="D223" s="69"/>
      <c r="E223" s="70"/>
      <c r="F223" s="70"/>
      <c r="G223" s="70"/>
      <c r="H223" s="70"/>
      <c r="I223" s="70"/>
      <c r="J223" s="70"/>
      <c r="K223" s="70"/>
      <c r="L223" s="70"/>
      <c r="M223" s="70"/>
      <c r="N223" s="69" t="s">
        <v>1</v>
      </c>
      <c r="O223" s="69"/>
      <c r="P223" s="69"/>
      <c r="Q223" s="69"/>
      <c r="R223" s="69"/>
      <c r="S223" s="69"/>
      <c r="T223" s="69"/>
      <c r="U223" s="70"/>
      <c r="V223" s="100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</row>
    <row r="224" spans="1:90" s="2" customFormat="1">
      <c r="A224" s="69" t="s">
        <v>2</v>
      </c>
      <c r="B224" s="69"/>
      <c r="C224" s="69"/>
      <c r="D224" s="69"/>
      <c r="E224" s="70"/>
      <c r="F224" s="70"/>
      <c r="G224" s="70"/>
      <c r="H224" s="70"/>
      <c r="I224" s="70"/>
      <c r="J224" s="70"/>
      <c r="K224" s="70"/>
      <c r="L224" s="70"/>
      <c r="M224" s="70"/>
      <c r="N224" s="69" t="s">
        <v>3</v>
      </c>
      <c r="O224" s="69"/>
      <c r="P224" s="69"/>
      <c r="Q224" s="69"/>
      <c r="R224" s="69"/>
      <c r="S224" s="69"/>
      <c r="T224" s="69"/>
      <c r="U224" s="70"/>
      <c r="V224" s="100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</row>
    <row r="225" spans="1:90" s="2" customFormat="1">
      <c r="A225" s="69"/>
      <c r="B225" s="69"/>
      <c r="C225" s="69"/>
      <c r="D225" s="69"/>
      <c r="E225" s="70"/>
      <c r="F225" s="70"/>
      <c r="G225" s="70"/>
      <c r="H225" s="70"/>
      <c r="I225" s="70"/>
      <c r="J225" s="70"/>
      <c r="K225" s="70"/>
      <c r="L225" s="70"/>
      <c r="M225" s="70"/>
      <c r="N225" s="68" t="s">
        <v>4</v>
      </c>
      <c r="O225" s="68"/>
      <c r="P225" s="68"/>
      <c r="Q225" s="68"/>
      <c r="R225" s="68"/>
      <c r="S225" s="68"/>
      <c r="T225" s="68"/>
      <c r="U225" s="70"/>
      <c r="V225" s="100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</row>
    <row r="226" spans="1:90" s="2" customFormat="1">
      <c r="A226" s="69" t="s">
        <v>5</v>
      </c>
      <c r="B226" s="69"/>
      <c r="C226" s="69" t="s">
        <v>6</v>
      </c>
      <c r="D226" s="69"/>
      <c r="E226" s="462" t="s">
        <v>183</v>
      </c>
      <c r="F226" s="462"/>
      <c r="G226" s="462"/>
      <c r="H226" s="462"/>
      <c r="I226" s="462"/>
      <c r="J226" s="462"/>
      <c r="K226" s="462"/>
      <c r="L226" s="462"/>
      <c r="M226" s="70"/>
      <c r="N226" s="69" t="s">
        <v>139</v>
      </c>
      <c r="O226" s="69"/>
      <c r="P226" s="69"/>
      <c r="Q226" s="69"/>
      <c r="R226" s="69"/>
      <c r="S226" s="69"/>
      <c r="T226" s="69"/>
      <c r="U226" s="70"/>
      <c r="V226" s="100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</row>
    <row r="227" spans="1:90" s="2" customFormat="1">
      <c r="A227" s="69"/>
      <c r="B227" s="69"/>
      <c r="C227" s="69"/>
      <c r="D227" s="69"/>
      <c r="E227" s="463" t="s">
        <v>184</v>
      </c>
      <c r="F227" s="463"/>
      <c r="G227" s="463"/>
      <c r="H227" s="463"/>
      <c r="I227" s="463"/>
      <c r="J227" s="463"/>
      <c r="K227" s="463"/>
      <c r="L227" s="463"/>
      <c r="M227" s="463"/>
      <c r="N227" s="70"/>
      <c r="O227" s="70"/>
      <c r="P227" s="70"/>
      <c r="Q227" s="70"/>
      <c r="R227" s="70"/>
      <c r="S227" s="70"/>
      <c r="T227" s="70"/>
      <c r="U227" s="70"/>
      <c r="V227" s="100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</row>
    <row r="228" spans="1:90" s="2" customFormat="1">
      <c r="A228" s="70"/>
      <c r="B228" s="70"/>
      <c r="C228" s="70"/>
      <c r="D228" s="70"/>
      <c r="E228" s="464" t="s">
        <v>219</v>
      </c>
      <c r="F228" s="464"/>
      <c r="G228" s="464"/>
      <c r="H228" s="464"/>
      <c r="I228" s="464"/>
      <c r="J228" s="464"/>
      <c r="K228" s="464"/>
      <c r="L228" s="464"/>
      <c r="M228" s="464"/>
      <c r="N228" s="70"/>
      <c r="O228" s="70"/>
      <c r="P228" s="70"/>
      <c r="Q228" s="70"/>
      <c r="R228" s="70"/>
      <c r="S228" s="70"/>
      <c r="T228" s="70"/>
      <c r="U228" s="70"/>
      <c r="V228" s="100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8"/>
    </row>
    <row r="229" spans="1:90" s="2" customFormat="1">
      <c r="A229" s="70"/>
      <c r="B229" s="70"/>
      <c r="C229" s="70"/>
      <c r="D229" s="70"/>
      <c r="E229" s="464" t="s">
        <v>7</v>
      </c>
      <c r="F229" s="464"/>
      <c r="G229" s="464"/>
      <c r="H229" s="464"/>
      <c r="I229" s="464"/>
      <c r="J229" s="464"/>
      <c r="K229" s="464"/>
      <c r="L229" s="464"/>
      <c r="M229" s="464"/>
      <c r="N229" s="70"/>
      <c r="O229" s="70"/>
      <c r="P229" s="70"/>
      <c r="Q229" s="70"/>
      <c r="R229" s="70"/>
      <c r="S229" s="70"/>
      <c r="T229" s="70"/>
      <c r="U229" s="70"/>
      <c r="V229" s="100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  <c r="CL229" s="38"/>
    </row>
    <row r="230" spans="1:90" s="2" customFormat="1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 t="s">
        <v>185</v>
      </c>
      <c r="R230" s="70"/>
      <c r="S230" s="70"/>
      <c r="T230" s="70"/>
      <c r="U230" s="70"/>
      <c r="V230" s="100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</row>
    <row r="231" spans="1:90" s="2" customFormat="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 t="s">
        <v>265</v>
      </c>
      <c r="R231" s="70"/>
      <c r="S231" s="70"/>
      <c r="T231" s="70"/>
      <c r="U231" s="70"/>
      <c r="V231" s="100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8"/>
    </row>
    <row r="232" spans="1:90" s="2" customFormat="1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 t="s">
        <v>186</v>
      </c>
      <c r="R232" s="70"/>
      <c r="S232" s="70"/>
      <c r="T232" s="70" t="s">
        <v>187</v>
      </c>
      <c r="U232" s="70"/>
      <c r="V232" s="100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8"/>
      <c r="CL232" s="38"/>
    </row>
    <row r="233" spans="1:90" s="2" customFormat="1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 t="s">
        <v>188</v>
      </c>
      <c r="R233" s="70"/>
      <c r="S233" s="70"/>
      <c r="T233" s="70">
        <v>4</v>
      </c>
      <c r="U233" s="70"/>
      <c r="V233" s="100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  <c r="CL233" s="38"/>
    </row>
    <row r="234" spans="1:90" s="2" customFormat="1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 t="s">
        <v>189</v>
      </c>
      <c r="R234" s="70"/>
      <c r="S234" s="70"/>
      <c r="T234" s="70">
        <v>16</v>
      </c>
      <c r="U234" s="70" t="s">
        <v>190</v>
      </c>
      <c r="V234" s="100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8"/>
    </row>
    <row r="235" spans="1:90" s="2" customFormat="1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 t="s">
        <v>191</v>
      </c>
      <c r="R235" s="70"/>
      <c r="S235" s="70"/>
      <c r="T235" s="70">
        <v>0</v>
      </c>
      <c r="U235" s="70">
        <f>T235*100/T234</f>
        <v>0</v>
      </c>
      <c r="V235" s="100" t="s">
        <v>17</v>
      </c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</row>
    <row r="236" spans="1:90" s="2" customFormat="1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 t="s">
        <v>192</v>
      </c>
      <c r="R236" s="70"/>
      <c r="S236" s="70"/>
      <c r="T236" s="70">
        <v>16</v>
      </c>
      <c r="U236" s="70">
        <f>T236*100/T234</f>
        <v>100</v>
      </c>
      <c r="V236" s="100" t="s">
        <v>17</v>
      </c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38"/>
    </row>
    <row r="237" spans="1:90" s="2" customFormat="1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 t="s">
        <v>193</v>
      </c>
      <c r="R237" s="70"/>
      <c r="S237" s="70"/>
      <c r="T237" s="324">
        <f>K251</f>
        <v>153.80000000000001</v>
      </c>
      <c r="U237" s="70"/>
      <c r="V237" s="100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  <c r="CL237" s="38"/>
    </row>
    <row r="238" spans="1:90" s="2" customFormat="1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100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8"/>
      <c r="CH238" s="38"/>
      <c r="CI238" s="38"/>
      <c r="CJ238" s="38"/>
      <c r="CK238" s="38"/>
      <c r="CL238" s="38"/>
    </row>
    <row r="239" spans="1:90" s="2" customFormat="1">
      <c r="A239" s="70"/>
      <c r="B239" s="70" t="s">
        <v>489</v>
      </c>
      <c r="C239" s="70" t="s">
        <v>194</v>
      </c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100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8"/>
      <c r="BU239" s="38"/>
      <c r="BV239" s="38"/>
      <c r="BW239" s="38"/>
      <c r="BX239" s="38"/>
      <c r="BY239" s="38"/>
      <c r="BZ239" s="38"/>
      <c r="CA239" s="38"/>
      <c r="CB239" s="38"/>
      <c r="CC239" s="38"/>
      <c r="CD239" s="38"/>
      <c r="CE239" s="38"/>
      <c r="CF239" s="38"/>
      <c r="CG239" s="38"/>
      <c r="CH239" s="38"/>
      <c r="CI239" s="38"/>
      <c r="CJ239" s="38"/>
      <c r="CK239" s="38"/>
      <c r="CL239" s="38"/>
    </row>
    <row r="240" spans="1:90" s="2" customFormat="1">
      <c r="A240" s="459" t="s">
        <v>195</v>
      </c>
      <c r="B240" s="459" t="s">
        <v>196</v>
      </c>
      <c r="C240" s="459" t="s">
        <v>197</v>
      </c>
      <c r="D240" s="459" t="s">
        <v>198</v>
      </c>
      <c r="E240" s="459" t="s">
        <v>10</v>
      </c>
      <c r="F240" s="459" t="s">
        <v>199</v>
      </c>
      <c r="G240" s="459" t="s">
        <v>200</v>
      </c>
      <c r="H240" s="459" t="s">
        <v>201</v>
      </c>
      <c r="I240" s="459" t="s">
        <v>202</v>
      </c>
      <c r="J240" s="459" t="s">
        <v>11</v>
      </c>
      <c r="K240" s="459" t="s">
        <v>203</v>
      </c>
      <c r="L240" s="459" t="s">
        <v>12</v>
      </c>
      <c r="M240" s="458" t="s">
        <v>204</v>
      </c>
      <c r="N240" s="458"/>
      <c r="O240" s="458"/>
      <c r="P240" s="458"/>
      <c r="Q240" s="458"/>
      <c r="R240" s="458"/>
      <c r="S240" s="458"/>
      <c r="T240" s="458"/>
      <c r="U240" s="459" t="s">
        <v>205</v>
      </c>
      <c r="V240" s="479" t="s">
        <v>206</v>
      </c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  <c r="BY240" s="38"/>
      <c r="BZ240" s="38"/>
      <c r="CA240" s="38"/>
      <c r="CB240" s="38"/>
      <c r="CC240" s="38"/>
      <c r="CD240" s="38"/>
      <c r="CE240" s="38"/>
      <c r="CF240" s="38"/>
      <c r="CG240" s="38"/>
      <c r="CH240" s="38"/>
      <c r="CI240" s="38"/>
      <c r="CJ240" s="38"/>
      <c r="CK240" s="38"/>
      <c r="CL240" s="38"/>
    </row>
    <row r="241" spans="1:90" s="2" customFormat="1">
      <c r="A241" s="460"/>
      <c r="B241" s="460"/>
      <c r="C241" s="460"/>
      <c r="D241" s="460"/>
      <c r="E241" s="460"/>
      <c r="F241" s="460"/>
      <c r="G241" s="460"/>
      <c r="H241" s="460"/>
      <c r="I241" s="460"/>
      <c r="J241" s="460"/>
      <c r="K241" s="460"/>
      <c r="L241" s="460"/>
      <c r="M241" s="459" t="s">
        <v>207</v>
      </c>
      <c r="N241" s="459" t="s">
        <v>15</v>
      </c>
      <c r="O241" s="458" t="s">
        <v>16</v>
      </c>
      <c r="P241" s="458"/>
      <c r="Q241" s="458"/>
      <c r="R241" s="459"/>
      <c r="S241" s="459"/>
      <c r="T241" s="459"/>
      <c r="U241" s="460"/>
      <c r="V241" s="479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/>
      <c r="CF241" s="38"/>
      <c r="CG241" s="38"/>
      <c r="CH241" s="38"/>
      <c r="CI241" s="38"/>
      <c r="CJ241" s="38"/>
      <c r="CK241" s="38"/>
      <c r="CL241" s="38"/>
    </row>
    <row r="242" spans="1:90" s="2" customFormat="1" ht="39.75" customHeight="1">
      <c r="A242" s="461"/>
      <c r="B242" s="461"/>
      <c r="C242" s="461"/>
      <c r="D242" s="461"/>
      <c r="E242" s="461"/>
      <c r="F242" s="461"/>
      <c r="G242" s="461"/>
      <c r="H242" s="461"/>
      <c r="I242" s="461"/>
      <c r="J242" s="461"/>
      <c r="K242" s="461"/>
      <c r="L242" s="461"/>
      <c r="M242" s="461"/>
      <c r="N242" s="461"/>
      <c r="O242" s="71" t="s">
        <v>17</v>
      </c>
      <c r="P242" s="71" t="s">
        <v>18</v>
      </c>
      <c r="Q242" s="71" t="s">
        <v>19</v>
      </c>
      <c r="R242" s="461"/>
      <c r="S242" s="461"/>
      <c r="T242" s="461"/>
      <c r="U242" s="461"/>
      <c r="V242" s="479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  <c r="BS242" s="38"/>
      <c r="BT242" s="38"/>
      <c r="BU242" s="38"/>
      <c r="BV242" s="38"/>
      <c r="BW242" s="38"/>
      <c r="BX242" s="38"/>
      <c r="BY242" s="38"/>
      <c r="BZ242" s="38"/>
      <c r="CA242" s="38"/>
      <c r="CB242" s="38"/>
      <c r="CC242" s="38"/>
      <c r="CD242" s="38"/>
      <c r="CE242" s="38"/>
      <c r="CF242" s="38"/>
      <c r="CG242" s="38"/>
      <c r="CH242" s="38"/>
      <c r="CI242" s="38"/>
      <c r="CJ242" s="38"/>
      <c r="CK242" s="38"/>
      <c r="CL242" s="38"/>
    </row>
    <row r="243" spans="1:90" s="2" customFormat="1" ht="37.5" customHeight="1">
      <c r="A243" s="102">
        <v>1</v>
      </c>
      <c r="B243" s="84"/>
      <c r="C243" s="84" t="s">
        <v>100</v>
      </c>
      <c r="D243" s="37" t="s">
        <v>51</v>
      </c>
      <c r="E243" s="84" t="s">
        <v>101</v>
      </c>
      <c r="F243" s="84" t="s">
        <v>102</v>
      </c>
      <c r="G243" s="84" t="s">
        <v>166</v>
      </c>
      <c r="H243" s="74" t="s">
        <v>25</v>
      </c>
      <c r="I243" s="82">
        <v>92201</v>
      </c>
      <c r="J243" s="75">
        <f>I243/72</f>
        <v>1280.57</v>
      </c>
      <c r="K243" s="76">
        <v>1.8</v>
      </c>
      <c r="L243" s="77">
        <f>J243*K243</f>
        <v>2305</v>
      </c>
      <c r="M243" s="102"/>
      <c r="N243" s="102"/>
      <c r="O243" s="102"/>
      <c r="P243" s="102"/>
      <c r="Q243" s="77">
        <f>17697*25%/72*P243</f>
        <v>0</v>
      </c>
      <c r="R243" s="77"/>
      <c r="S243" s="77"/>
      <c r="T243" s="77"/>
      <c r="U243" s="77">
        <f>L243*10%</f>
        <v>231</v>
      </c>
      <c r="V243" s="77">
        <f>M243+N243+Q243+R243+T243+U243+S243+L243</f>
        <v>2536</v>
      </c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  <c r="CK243" s="38"/>
      <c r="CL243" s="38"/>
    </row>
    <row r="244" spans="1:90" s="2" customFormat="1" ht="45.75" customHeight="1">
      <c r="A244" s="102">
        <v>2</v>
      </c>
      <c r="B244" s="80"/>
      <c r="C244" s="80" t="s">
        <v>482</v>
      </c>
      <c r="D244" s="37" t="s">
        <v>51</v>
      </c>
      <c r="E244" s="37" t="s">
        <v>26</v>
      </c>
      <c r="F244" s="37" t="s">
        <v>27</v>
      </c>
      <c r="G244" s="80" t="s">
        <v>140</v>
      </c>
      <c r="H244" s="82" t="s">
        <v>25</v>
      </c>
      <c r="I244" s="82">
        <v>92201</v>
      </c>
      <c r="J244" s="75">
        <f t="shared" ref="J244:J248" si="43">I244/72</f>
        <v>1280.57</v>
      </c>
      <c r="K244" s="76">
        <v>4</v>
      </c>
      <c r="L244" s="77">
        <f t="shared" ref="L244:L248" si="44">J244*K244</f>
        <v>5122</v>
      </c>
      <c r="M244" s="102"/>
      <c r="N244" s="102"/>
      <c r="O244" s="102"/>
      <c r="P244" s="102"/>
      <c r="Q244" s="77">
        <f>17697*25%/72*P244</f>
        <v>0</v>
      </c>
      <c r="R244" s="102"/>
      <c r="S244" s="102"/>
      <c r="T244" s="77"/>
      <c r="U244" s="77">
        <f t="shared" ref="U244:U250" si="45">L244*10%</f>
        <v>512</v>
      </c>
      <c r="V244" s="77">
        <f t="shared" ref="V244:V250" si="46">M244+N244+Q244+R244+T244+U244+S244+L244</f>
        <v>5634</v>
      </c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8"/>
      <c r="CI244" s="38"/>
      <c r="CJ244" s="38"/>
      <c r="CK244" s="38"/>
      <c r="CL244" s="38"/>
    </row>
    <row r="245" spans="1:90" s="2" customFormat="1" ht="58.5" customHeight="1">
      <c r="A245" s="102">
        <v>3</v>
      </c>
      <c r="B245" s="80"/>
      <c r="C245" s="80" t="s">
        <v>483</v>
      </c>
      <c r="D245" s="37" t="s">
        <v>51</v>
      </c>
      <c r="E245" s="37" t="s">
        <v>87</v>
      </c>
      <c r="F245" s="80" t="s">
        <v>88</v>
      </c>
      <c r="G245" s="80" t="s">
        <v>161</v>
      </c>
      <c r="H245" s="82" t="s">
        <v>25</v>
      </c>
      <c r="I245" s="82">
        <v>93971</v>
      </c>
      <c r="J245" s="75">
        <f t="shared" si="43"/>
        <v>1305.1500000000001</v>
      </c>
      <c r="K245" s="76">
        <v>7</v>
      </c>
      <c r="L245" s="77">
        <f t="shared" si="44"/>
        <v>9136</v>
      </c>
      <c r="M245" s="102"/>
      <c r="N245" s="102"/>
      <c r="O245" s="102"/>
      <c r="P245" s="102"/>
      <c r="Q245" s="77">
        <f>17697*25%/72*P245</f>
        <v>0</v>
      </c>
      <c r="R245" s="102"/>
      <c r="S245" s="102"/>
      <c r="T245" s="77"/>
      <c r="U245" s="77">
        <f t="shared" si="45"/>
        <v>914</v>
      </c>
      <c r="V245" s="77">
        <f t="shared" si="46"/>
        <v>10050</v>
      </c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  <c r="CL245" s="38"/>
    </row>
    <row r="246" spans="1:90" s="2" customFormat="1" ht="99" customHeight="1">
      <c r="A246" s="102">
        <v>4</v>
      </c>
      <c r="B246" s="80"/>
      <c r="C246" s="81" t="s">
        <v>490</v>
      </c>
      <c r="D246" s="37" t="s">
        <v>51</v>
      </c>
      <c r="E246" s="80" t="s">
        <v>70</v>
      </c>
      <c r="F246" s="80" t="s">
        <v>71</v>
      </c>
      <c r="G246" s="80" t="s">
        <v>153</v>
      </c>
      <c r="H246" s="74" t="s">
        <v>25</v>
      </c>
      <c r="I246" s="82">
        <v>89016</v>
      </c>
      <c r="J246" s="75">
        <f t="shared" si="43"/>
        <v>1236.33</v>
      </c>
      <c r="K246" s="102">
        <f>7.2+14.4</f>
        <v>21.6</v>
      </c>
      <c r="L246" s="77">
        <f t="shared" si="44"/>
        <v>26705</v>
      </c>
      <c r="M246" s="102"/>
      <c r="N246" s="102"/>
      <c r="O246" s="102"/>
      <c r="P246" s="102"/>
      <c r="Q246" s="77">
        <f>17697*20%/72*P246</f>
        <v>0</v>
      </c>
      <c r="R246" s="102"/>
      <c r="S246" s="102"/>
      <c r="T246" s="77"/>
      <c r="U246" s="77">
        <f t="shared" si="45"/>
        <v>2671</v>
      </c>
      <c r="V246" s="77">
        <f t="shared" si="46"/>
        <v>29376</v>
      </c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  <c r="CL246" s="38"/>
    </row>
    <row r="247" spans="1:90" s="2" customFormat="1" ht="82.5" customHeight="1">
      <c r="A247" s="102">
        <v>5</v>
      </c>
      <c r="B247" s="37"/>
      <c r="C247" s="81" t="s">
        <v>491</v>
      </c>
      <c r="D247" s="37" t="s">
        <v>51</v>
      </c>
      <c r="E247" s="37" t="s">
        <v>38</v>
      </c>
      <c r="F247" s="37" t="s">
        <v>39</v>
      </c>
      <c r="G247" s="37" t="s">
        <v>143</v>
      </c>
      <c r="H247" s="82" t="s">
        <v>25</v>
      </c>
      <c r="I247" s="82">
        <v>84061</v>
      </c>
      <c r="J247" s="75">
        <f t="shared" si="43"/>
        <v>1167.51</v>
      </c>
      <c r="K247" s="76">
        <f>10.4+5.4</f>
        <v>15.8</v>
      </c>
      <c r="L247" s="77">
        <f t="shared" si="44"/>
        <v>18447</v>
      </c>
      <c r="M247" s="102"/>
      <c r="N247" s="102"/>
      <c r="O247" s="102"/>
      <c r="P247" s="102"/>
      <c r="Q247" s="77">
        <f t="shared" ref="Q247:Q248" si="47">17697*20%/72*P247</f>
        <v>0</v>
      </c>
      <c r="R247" s="102"/>
      <c r="S247" s="102"/>
      <c r="T247" s="77"/>
      <c r="U247" s="77">
        <f t="shared" si="45"/>
        <v>1845</v>
      </c>
      <c r="V247" s="77">
        <f t="shared" si="46"/>
        <v>20292</v>
      </c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  <c r="CF247" s="38"/>
      <c r="CG247" s="38"/>
      <c r="CH247" s="38"/>
      <c r="CI247" s="38"/>
      <c r="CJ247" s="38"/>
      <c r="CK247" s="38"/>
      <c r="CL247" s="38"/>
    </row>
    <row r="248" spans="1:90" s="2" customFormat="1" ht="50.25" customHeight="1">
      <c r="A248" s="102">
        <v>6</v>
      </c>
      <c r="B248" s="80"/>
      <c r="C248" s="81" t="s">
        <v>486</v>
      </c>
      <c r="D248" s="37" t="s">
        <v>51</v>
      </c>
      <c r="E248" s="37" t="s">
        <v>38</v>
      </c>
      <c r="F248" s="80" t="s">
        <v>82</v>
      </c>
      <c r="G248" s="80" t="s">
        <v>159</v>
      </c>
      <c r="H248" s="82" t="s">
        <v>25</v>
      </c>
      <c r="I248" s="82">
        <v>93971</v>
      </c>
      <c r="J248" s="75">
        <f t="shared" si="43"/>
        <v>1305.1500000000001</v>
      </c>
      <c r="K248" s="76">
        <v>2</v>
      </c>
      <c r="L248" s="77">
        <f t="shared" si="44"/>
        <v>2610</v>
      </c>
      <c r="M248" s="102"/>
      <c r="N248" s="102"/>
      <c r="O248" s="102"/>
      <c r="P248" s="102"/>
      <c r="Q248" s="77">
        <f t="shared" si="47"/>
        <v>0</v>
      </c>
      <c r="R248" s="102"/>
      <c r="S248" s="102"/>
      <c r="T248" s="77"/>
      <c r="U248" s="77">
        <f t="shared" si="45"/>
        <v>261</v>
      </c>
      <c r="V248" s="77">
        <f t="shared" si="46"/>
        <v>2871</v>
      </c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  <c r="CF248" s="38"/>
      <c r="CG248" s="38"/>
      <c r="CH248" s="38"/>
      <c r="CI248" s="38"/>
      <c r="CJ248" s="38"/>
      <c r="CK248" s="38"/>
      <c r="CL248" s="38"/>
    </row>
    <row r="249" spans="1:90" s="2" customFormat="1" ht="49.5" customHeight="1">
      <c r="A249" s="102">
        <v>7</v>
      </c>
      <c r="B249" s="80"/>
      <c r="C249" s="130" t="s">
        <v>493</v>
      </c>
      <c r="D249" s="37"/>
      <c r="E249" s="94"/>
      <c r="F249" s="86"/>
      <c r="G249" s="80"/>
      <c r="H249" s="82"/>
      <c r="I249" s="82"/>
      <c r="J249" s="75"/>
      <c r="K249" s="76"/>
      <c r="L249" s="77"/>
      <c r="M249" s="102">
        <v>4424</v>
      </c>
      <c r="N249" s="102"/>
      <c r="O249" s="102"/>
      <c r="P249" s="102"/>
      <c r="Q249" s="77"/>
      <c r="R249" s="102"/>
      <c r="S249" s="102"/>
      <c r="T249" s="77"/>
      <c r="U249" s="77">
        <f t="shared" si="45"/>
        <v>0</v>
      </c>
      <c r="V249" s="77">
        <f t="shared" si="46"/>
        <v>4424</v>
      </c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  <c r="CF249" s="38"/>
      <c r="CG249" s="38"/>
      <c r="CH249" s="38"/>
      <c r="CI249" s="38"/>
      <c r="CJ249" s="38"/>
      <c r="CK249" s="38"/>
      <c r="CL249" s="38"/>
    </row>
    <row r="250" spans="1:90" s="2" customFormat="1" ht="83.25" customHeight="1">
      <c r="A250" s="102">
        <v>8</v>
      </c>
      <c r="B250" s="37"/>
      <c r="C250" s="93" t="s">
        <v>492</v>
      </c>
      <c r="D250" s="102" t="s">
        <v>51</v>
      </c>
      <c r="E250" s="94"/>
      <c r="F250" s="94"/>
      <c r="G250" s="36" t="s">
        <v>50</v>
      </c>
      <c r="H250" s="82" t="s">
        <v>42</v>
      </c>
      <c r="I250" s="36">
        <v>85653</v>
      </c>
      <c r="J250" s="75">
        <f>I250/72</f>
        <v>1189.6300000000001</v>
      </c>
      <c r="K250" s="102">
        <f>1.8+1.6+10+21.6+7.2+59.4</f>
        <v>101.6</v>
      </c>
      <c r="L250" s="77">
        <f>J250*K250</f>
        <v>120866</v>
      </c>
      <c r="M250" s="102"/>
      <c r="N250" s="102"/>
      <c r="O250" s="102"/>
      <c r="P250" s="102"/>
      <c r="Q250" s="77">
        <f>17697*20%/72*P250</f>
        <v>0</v>
      </c>
      <c r="R250" s="102"/>
      <c r="S250" s="102"/>
      <c r="T250" s="77"/>
      <c r="U250" s="77">
        <f t="shared" si="45"/>
        <v>12087</v>
      </c>
      <c r="V250" s="77">
        <f t="shared" si="46"/>
        <v>132953</v>
      </c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  <c r="CK250" s="38"/>
      <c r="CL250" s="38"/>
    </row>
    <row r="251" spans="1:90" s="2" customFormat="1">
      <c r="A251" s="104"/>
      <c r="B251" s="104" t="s">
        <v>8</v>
      </c>
      <c r="C251" s="102"/>
      <c r="D251" s="102"/>
      <c r="E251" s="102"/>
      <c r="F251" s="102"/>
      <c r="G251" s="104"/>
      <c r="H251" s="102"/>
      <c r="I251" s="102"/>
      <c r="J251" s="75"/>
      <c r="K251" s="76">
        <f>SUM(K243:K250)</f>
        <v>153.80000000000001</v>
      </c>
      <c r="L251" s="76">
        <f t="shared" ref="L251:V251" si="48">SUM(L243:L250)</f>
        <v>185191</v>
      </c>
      <c r="M251" s="76">
        <f t="shared" si="48"/>
        <v>4424</v>
      </c>
      <c r="N251" s="76">
        <f t="shared" si="48"/>
        <v>0</v>
      </c>
      <c r="O251" s="76">
        <f t="shared" si="48"/>
        <v>0</v>
      </c>
      <c r="P251" s="76">
        <f t="shared" si="48"/>
        <v>0</v>
      </c>
      <c r="Q251" s="76">
        <f t="shared" si="48"/>
        <v>0</v>
      </c>
      <c r="R251" s="76">
        <f t="shared" si="48"/>
        <v>0</v>
      </c>
      <c r="S251" s="76">
        <f t="shared" si="48"/>
        <v>0</v>
      </c>
      <c r="T251" s="76">
        <f t="shared" si="48"/>
        <v>0</v>
      </c>
      <c r="U251" s="76">
        <f t="shared" si="48"/>
        <v>18521</v>
      </c>
      <c r="V251" s="76">
        <f t="shared" si="48"/>
        <v>208136</v>
      </c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8"/>
      <c r="CH251" s="38"/>
      <c r="CI251" s="38"/>
      <c r="CJ251" s="38"/>
      <c r="CK251" s="38"/>
      <c r="CL251" s="38"/>
    </row>
    <row r="252" spans="1:90" s="2" customFormat="1">
      <c r="A252" s="95"/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6" t="s">
        <v>213</v>
      </c>
      <c r="P252" s="96"/>
      <c r="Q252" s="96"/>
      <c r="R252" s="96"/>
      <c r="S252" s="97"/>
      <c r="T252" s="97"/>
      <c r="U252" s="98"/>
      <c r="V252" s="9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  <c r="CL252" s="38"/>
    </row>
    <row r="253" spans="1:90" s="2" customFormat="1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100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  <c r="CK253" s="38"/>
      <c r="CL253" s="38"/>
    </row>
    <row r="254" spans="1:90" s="2" customFormat="1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100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  <c r="CL254" s="38"/>
    </row>
    <row r="255" spans="1:90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350"/>
    </row>
    <row r="256" spans="1:90">
      <c r="A256" s="126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350"/>
    </row>
    <row r="257" spans="1:22">
      <c r="A257" s="126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350"/>
    </row>
  </sheetData>
  <mergeCells count="175">
    <mergeCell ref="A240:A242"/>
    <mergeCell ref="B240:B242"/>
    <mergeCell ref="C240:C242"/>
    <mergeCell ref="D240:D242"/>
    <mergeCell ref="E240:E242"/>
    <mergeCell ref="F240:F242"/>
    <mergeCell ref="G240:G242"/>
    <mergeCell ref="H240:H242"/>
    <mergeCell ref="I240:I242"/>
    <mergeCell ref="V207:V209"/>
    <mergeCell ref="M208:M209"/>
    <mergeCell ref="N208:N209"/>
    <mergeCell ref="O208:Q208"/>
    <mergeCell ref="R208:R209"/>
    <mergeCell ref="S208:S209"/>
    <mergeCell ref="T208:T209"/>
    <mergeCell ref="E226:L226"/>
    <mergeCell ref="E227:M227"/>
    <mergeCell ref="U207:U209"/>
    <mergeCell ref="E194:M194"/>
    <mergeCell ref="E195:M195"/>
    <mergeCell ref="E196:M196"/>
    <mergeCell ref="A207:A209"/>
    <mergeCell ref="B207:B209"/>
    <mergeCell ref="C207:C209"/>
    <mergeCell ref="D207:D209"/>
    <mergeCell ref="E207:E209"/>
    <mergeCell ref="F207:F209"/>
    <mergeCell ref="G207:G209"/>
    <mergeCell ref="H207:H209"/>
    <mergeCell ref="I207:I209"/>
    <mergeCell ref="J207:J209"/>
    <mergeCell ref="K207:K209"/>
    <mergeCell ref="L207:L209"/>
    <mergeCell ref="M207:T207"/>
    <mergeCell ref="U175:U177"/>
    <mergeCell ref="V175:V177"/>
    <mergeCell ref="M176:M177"/>
    <mergeCell ref="N176:N177"/>
    <mergeCell ref="O176:Q176"/>
    <mergeCell ref="R176:R177"/>
    <mergeCell ref="S176:S177"/>
    <mergeCell ref="T176:T177"/>
    <mergeCell ref="E193:L193"/>
    <mergeCell ref="E161:L161"/>
    <mergeCell ref="A175:A177"/>
    <mergeCell ref="B175:B177"/>
    <mergeCell ref="C175:C177"/>
    <mergeCell ref="D175:D177"/>
    <mergeCell ref="E175:E177"/>
    <mergeCell ref="F175:F177"/>
    <mergeCell ref="G175:G177"/>
    <mergeCell ref="H175:H177"/>
    <mergeCell ref="I175:I177"/>
    <mergeCell ref="J175:J177"/>
    <mergeCell ref="K175:K177"/>
    <mergeCell ref="L175:L177"/>
    <mergeCell ref="E162:M162"/>
    <mergeCell ref="E163:M163"/>
    <mergeCell ref="E164:M164"/>
    <mergeCell ref="M175:T175"/>
    <mergeCell ref="J145:J147"/>
    <mergeCell ref="K145:K147"/>
    <mergeCell ref="L145:L147"/>
    <mergeCell ref="M145:T145"/>
    <mergeCell ref="U145:U147"/>
    <mergeCell ref="V145:V147"/>
    <mergeCell ref="M146:M147"/>
    <mergeCell ref="N146:N147"/>
    <mergeCell ref="O146:Q146"/>
    <mergeCell ref="R146:R147"/>
    <mergeCell ref="S146:S147"/>
    <mergeCell ref="T146:T147"/>
    <mergeCell ref="A145:A147"/>
    <mergeCell ref="B145:B147"/>
    <mergeCell ref="C145:C147"/>
    <mergeCell ref="D145:D147"/>
    <mergeCell ref="E145:E147"/>
    <mergeCell ref="F145:F147"/>
    <mergeCell ref="G145:G147"/>
    <mergeCell ref="H145:H147"/>
    <mergeCell ref="I145:I147"/>
    <mergeCell ref="E51:L51"/>
    <mergeCell ref="E52:M52"/>
    <mergeCell ref="E90:L90"/>
    <mergeCell ref="E91:M91"/>
    <mergeCell ref="E92:M92"/>
    <mergeCell ref="E93:M93"/>
    <mergeCell ref="A104:A106"/>
    <mergeCell ref="B104:B106"/>
    <mergeCell ref="C104:C106"/>
    <mergeCell ref="D104:D106"/>
    <mergeCell ref="E104:E106"/>
    <mergeCell ref="F104:F106"/>
    <mergeCell ref="G104:G106"/>
    <mergeCell ref="H104:H106"/>
    <mergeCell ref="I104:I106"/>
    <mergeCell ref="J104:J106"/>
    <mergeCell ref="K104:K106"/>
    <mergeCell ref="L104:L106"/>
    <mergeCell ref="M104:T104"/>
    <mergeCell ref="M105:M106"/>
    <mergeCell ref="N105:N106"/>
    <mergeCell ref="O105:Q105"/>
    <mergeCell ref="R105:R106"/>
    <mergeCell ref="S105:S106"/>
    <mergeCell ref="E228:M228"/>
    <mergeCell ref="E229:M229"/>
    <mergeCell ref="J240:J242"/>
    <mergeCell ref="K240:K242"/>
    <mergeCell ref="L240:L242"/>
    <mergeCell ref="M240:T240"/>
    <mergeCell ref="U240:U242"/>
    <mergeCell ref="V240:V242"/>
    <mergeCell ref="M241:M242"/>
    <mergeCell ref="N241:N242"/>
    <mergeCell ref="O241:Q241"/>
    <mergeCell ref="R241:R242"/>
    <mergeCell ref="S241:S242"/>
    <mergeCell ref="T241:T242"/>
    <mergeCell ref="U104:U106"/>
    <mergeCell ref="V104:V106"/>
    <mergeCell ref="T105:T106"/>
    <mergeCell ref="U65:U67"/>
    <mergeCell ref="V65:V67"/>
    <mergeCell ref="M66:M67"/>
    <mergeCell ref="N66:N67"/>
    <mergeCell ref="O66:Q66"/>
    <mergeCell ref="R66:R67"/>
    <mergeCell ref="S66:S67"/>
    <mergeCell ref="T66:T67"/>
    <mergeCell ref="E134:M134"/>
    <mergeCell ref="E53:M53"/>
    <mergeCell ref="E54:M54"/>
    <mergeCell ref="A65:A67"/>
    <mergeCell ref="B65:B67"/>
    <mergeCell ref="C65:C67"/>
    <mergeCell ref="D65:D67"/>
    <mergeCell ref="E65:E67"/>
    <mergeCell ref="F65:F67"/>
    <mergeCell ref="M65:T65"/>
    <mergeCell ref="G65:G67"/>
    <mergeCell ref="H65:H67"/>
    <mergeCell ref="I65:I67"/>
    <mergeCell ref="J65:J67"/>
    <mergeCell ref="K65:K67"/>
    <mergeCell ref="L65:L67"/>
    <mergeCell ref="E131:L131"/>
    <mergeCell ref="E132:M132"/>
    <mergeCell ref="E133:M133"/>
    <mergeCell ref="V18:V20"/>
    <mergeCell ref="M19:M20"/>
    <mergeCell ref="N19:N20"/>
    <mergeCell ref="O19:Q19"/>
    <mergeCell ref="R19:R20"/>
    <mergeCell ref="S19:S20"/>
    <mergeCell ref="T19:T20"/>
    <mergeCell ref="J18:J20"/>
    <mergeCell ref="K18:K20"/>
    <mergeCell ref="L18:L20"/>
    <mergeCell ref="E4:L4"/>
    <mergeCell ref="E5:M5"/>
    <mergeCell ref="E6:M6"/>
    <mergeCell ref="E7:M7"/>
    <mergeCell ref="M18:T18"/>
    <mergeCell ref="U18:U20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</mergeCells>
  <pageMargins left="0" right="0" top="0" bottom="0" header="0" footer="0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Свод по курсам</vt:lpstr>
      <vt:lpstr>Пров. тетр д.о.</vt:lpstr>
      <vt:lpstr>ТОиРГЭО</vt:lpstr>
      <vt:lpstr>УиА</vt:lpstr>
      <vt:lpstr>ТЗОиРЭиЭО</vt:lpstr>
      <vt:lpstr>ТМ</vt:lpstr>
      <vt:lpstr>ЭРиТОПСЖД</vt:lpstr>
      <vt:lpstr>ОП</vt:lpstr>
      <vt:lpstr>АиУ</vt:lpstr>
      <vt:lpstr>ТОиРГЭО!Область_печати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Nahiya</dc:creator>
  <cp:lastModifiedBy>Nahiya</cp:lastModifiedBy>
  <cp:lastPrinted>2019-10-03T09:33:59Z</cp:lastPrinted>
  <dcterms:created xsi:type="dcterms:W3CDTF">2019-09-06T03:43:22Z</dcterms:created>
  <dcterms:modified xsi:type="dcterms:W3CDTF">2019-10-17T08:48:19Z</dcterms:modified>
</cp:coreProperties>
</file>